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E:\Huy Anh\Biến đổi khí hậu\UPBDKH\Đề tài\Đề tài Thúc đẩy DN ứng phó BĐKH\"/>
    </mc:Choice>
  </mc:AlternateContent>
  <xr:revisionPtr revIDLastSave="0" documentId="13_ncr:1_{FFA55099-C9B6-4F9B-828A-2D12E6E247BD}" xr6:coauthVersionLast="47" xr6:coauthVersionMax="47" xr10:uidLastSave="{00000000-0000-0000-0000-000000000000}"/>
  <bookViews>
    <workbookView xWindow="-120" yWindow="-120" windowWidth="24240" windowHeight="13140" tabRatio="911" firstSheet="8" activeTab="11" xr2:uid="{00000000-000D-0000-FFFF-FFFF00000000}"/>
  </bookViews>
  <sheets>
    <sheet name="Dự toán (TH)" sheetId="14" state="hidden" r:id="rId1"/>
    <sheet name="PLII.Điều tra.KS" sheetId="15" state="hidden" r:id="rId2"/>
    <sheet name="PLIII.Nhân công" sheetId="18" state="hidden" r:id="rId3"/>
    <sheet name="Đơn giá tiền công" sheetId="24" state="hidden" r:id="rId4"/>
    <sheet name="Tong hop cong" sheetId="22" state="hidden" r:id="rId5"/>
    <sheet name="PL 4b. Chi tiết hội thảo" sheetId="20" state="hidden" r:id="rId6"/>
    <sheet name="PL 4a Hội thảo-nghiệm thu" sheetId="17" state="hidden" r:id="rId7"/>
    <sheet name="Tong hop_1" sheetId="44" r:id="rId8"/>
    <sheet name="Tong hop" sheetId="48" r:id="rId9"/>
    <sheet name="PL_Du toan" sheetId="45" r:id="rId10"/>
    <sheet name="Du toan chi khac (theo TT26)" sheetId="56" r:id="rId11"/>
    <sheet name="PL1. Ndung cong viec" sheetId="59" r:id="rId12"/>
    <sheet name="PL1a1_giai trinh cong LD" sheetId="49" r:id="rId13"/>
    <sheet name="Dieu tra khao sat" sheetId="36" r:id="rId14"/>
    <sheet name="Hoi thao" sheetId="53" r:id="rId15"/>
    <sheet name="Hop nghiem thu" sheetId="55" r:id="rId16"/>
    <sheet name="V9_noi dung" sheetId="38" state="hidden" r:id="rId17"/>
    <sheet name="Tong hop cong AL" sheetId="31" state="hidden" r:id="rId18"/>
    <sheet name="Sheet5" sheetId="54" state="hidden" r:id="rId19"/>
    <sheet name="PL3. Khao sat" sheetId="28" state="hidden" r:id="rId20"/>
    <sheet name="PL2_Hoi thao" sheetId="41" state="hidden" r:id="rId21"/>
    <sheet name="PL2. Nghiem thu" sheetId="29" state="hidden" r:id="rId22"/>
    <sheet name="PL_Hoi thao" sheetId="47" state="hidden" r:id="rId23"/>
    <sheet name="tiến độ" sheetId="42" state="hidden" r:id="rId24"/>
    <sheet name="Sheet1" sheetId="43" state="hidden" r:id="rId25"/>
  </sheets>
  <externalReferences>
    <externalReference r:id="rId26"/>
    <externalReference r:id="rId27"/>
  </externalReferences>
  <definedNames>
    <definedName name="_xlnm._FilterDatabase" localSheetId="11" hidden="1">'PL1. Ndung cong viec'!$A$4:$H$231</definedName>
    <definedName name="_xlnm._FilterDatabase" localSheetId="2" hidden="1">'PLIII.Nhân công'!$D$5:$D$72</definedName>
    <definedName name="OLE_LINK1" localSheetId="2">'PLIII.Nhân công'!#REF!</definedName>
    <definedName name="_xlnm.Print_Titles" localSheetId="0">'Dự toán (TH)'!$5:$5</definedName>
    <definedName name="_xlnm.Print_Titles" localSheetId="6">'PL 4a Hội thảo-nghiệm thu'!$2:$2</definedName>
    <definedName name="_xlnm.Print_Titles" localSheetId="1">'PLII.Điều tra.KS'!$4:$4</definedName>
    <definedName name="_xlnm.Print_Titles" localSheetId="2">'PLIII.Nhân công'!$3:$3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21" i="59" l="1"/>
  <c r="H120" i="59"/>
  <c r="H111" i="59"/>
  <c r="H68" i="59" s="1"/>
  <c r="H91" i="59"/>
  <c r="H62" i="59"/>
  <c r="H58" i="59"/>
  <c r="G230" i="59"/>
  <c r="G223" i="59"/>
  <c r="G152" i="59"/>
  <c r="G121" i="59" s="1"/>
  <c r="G120" i="59" s="1"/>
  <c r="G164" i="59"/>
  <c r="G222" i="59"/>
  <c r="G208" i="59"/>
  <c r="G195" i="59"/>
  <c r="G166" i="59"/>
  <c r="G165" i="59"/>
  <c r="G142" i="59"/>
  <c r="G132" i="59"/>
  <c r="G122" i="59"/>
  <c r="G115" i="59"/>
  <c r="G111" i="59" s="1"/>
  <c r="G104" i="59"/>
  <c r="G91" i="59"/>
  <c r="G69" i="59"/>
  <c r="G63" i="59"/>
  <c r="G58" i="59" s="1"/>
  <c r="G36" i="59"/>
  <c r="G32" i="59"/>
  <c r="H26" i="59"/>
  <c r="G21" i="59"/>
  <c r="G13" i="59"/>
  <c r="G12" i="59" s="1"/>
  <c r="G7" i="59"/>
  <c r="J131" i="56"/>
  <c r="I131" i="56"/>
  <c r="H140" i="56"/>
  <c r="H141" i="56" s="1"/>
  <c r="G11" i="59" l="1"/>
  <c r="L11" i="59" s="1"/>
  <c r="G68" i="59"/>
  <c r="E9" i="49"/>
  <c r="E8" i="49"/>
  <c r="E7" i="49"/>
  <c r="D6" i="49"/>
  <c r="E6" i="49" s="1"/>
  <c r="H10" i="59"/>
  <c r="H10" i="56"/>
  <c r="J10" i="56" s="1"/>
  <c r="J9" i="56"/>
  <c r="H9" i="56"/>
  <c r="F8" i="56"/>
  <c r="H96" i="59"/>
  <c r="H117" i="59"/>
  <c r="H116" i="59"/>
  <c r="H221" i="59"/>
  <c r="H220" i="59"/>
  <c r="H219" i="59"/>
  <c r="H222" i="59" l="1"/>
  <c r="J222" i="59" s="1"/>
  <c r="H105" i="59"/>
  <c r="H224" i="59" l="1"/>
  <c r="J224" i="59" s="1"/>
  <c r="G90" i="59"/>
  <c r="H89" i="59"/>
  <c r="H88" i="59"/>
  <c r="G87" i="59"/>
  <c r="H86" i="59"/>
  <c r="H85" i="59"/>
  <c r="G84" i="59"/>
  <c r="H83" i="59"/>
  <c r="H82" i="59"/>
  <c r="G81" i="59"/>
  <c r="H80" i="59"/>
  <c r="H79" i="59"/>
  <c r="G78" i="59"/>
  <c r="H77" i="59"/>
  <c r="H76" i="59"/>
  <c r="G75" i="59"/>
  <c r="H74" i="59"/>
  <c r="H73" i="59"/>
  <c r="F127" i="56"/>
  <c r="F106" i="56"/>
  <c r="G106" i="56" s="1"/>
  <c r="J106" i="56" s="1"/>
  <c r="K106" i="56" s="1"/>
  <c r="F129" i="56"/>
  <c r="G129" i="56" s="1"/>
  <c r="J129" i="56" s="1"/>
  <c r="K129" i="56" s="1"/>
  <c r="F128" i="56"/>
  <c r="G128" i="56" s="1"/>
  <c r="J128" i="56" s="1"/>
  <c r="K128" i="56" s="1"/>
  <c r="F125" i="56"/>
  <c r="G125" i="56" s="1"/>
  <c r="J125" i="56" s="1"/>
  <c r="K125" i="56" s="1"/>
  <c r="F124" i="56"/>
  <c r="G124" i="56" s="1"/>
  <c r="J124" i="56" s="1"/>
  <c r="K124" i="56" s="1"/>
  <c r="F123" i="56"/>
  <c r="G123" i="56" s="1"/>
  <c r="J123" i="56" s="1"/>
  <c r="K123" i="56" s="1"/>
  <c r="F122" i="56"/>
  <c r="G122" i="56" s="1"/>
  <c r="J122" i="56" s="1"/>
  <c r="K122" i="56" s="1"/>
  <c r="F121" i="56"/>
  <c r="G121" i="56" s="1"/>
  <c r="J121" i="56" s="1"/>
  <c r="K121" i="56" s="1"/>
  <c r="F120" i="56"/>
  <c r="G120" i="56" s="1"/>
  <c r="J120" i="56" s="1"/>
  <c r="K120" i="56" s="1"/>
  <c r="F119" i="56"/>
  <c r="G119" i="56" s="1"/>
  <c r="J119" i="56" s="1"/>
  <c r="K119" i="56" s="1"/>
  <c r="F116" i="56"/>
  <c r="G116" i="56" s="1"/>
  <c r="J116" i="56" s="1"/>
  <c r="K116" i="56" s="1"/>
  <c r="F115" i="56"/>
  <c r="G115" i="56" s="1"/>
  <c r="J115" i="56" s="1"/>
  <c r="K115" i="56" s="1"/>
  <c r="F114" i="56"/>
  <c r="F112" i="56"/>
  <c r="G112" i="56" s="1"/>
  <c r="J112" i="56" s="1"/>
  <c r="K112" i="56" s="1"/>
  <c r="F111" i="56"/>
  <c r="G111" i="56" s="1"/>
  <c r="J111" i="56" s="1"/>
  <c r="K111" i="56" s="1"/>
  <c r="F110" i="56"/>
  <c r="G110" i="56" s="1"/>
  <c r="J110" i="56" s="1"/>
  <c r="K110" i="56" s="1"/>
  <c r="F109" i="56"/>
  <c r="G109" i="56" s="1"/>
  <c r="J109" i="56" s="1"/>
  <c r="K109" i="56" s="1"/>
  <c r="F108" i="56"/>
  <c r="G108" i="56" s="1"/>
  <c r="J108" i="56" s="1"/>
  <c r="K108" i="56" s="1"/>
  <c r="F107" i="56"/>
  <c r="G107" i="56" s="1"/>
  <c r="J107" i="56" s="1"/>
  <c r="K107" i="56" s="1"/>
  <c r="F103" i="56"/>
  <c r="G103" i="56" s="1"/>
  <c r="J103" i="56" s="1"/>
  <c r="K103" i="56" s="1"/>
  <c r="F102" i="56"/>
  <c r="G102" i="56" s="1"/>
  <c r="J102" i="56" s="1"/>
  <c r="K102" i="56" s="1"/>
  <c r="F101" i="56"/>
  <c r="G101" i="56" s="1"/>
  <c r="J101" i="56" s="1"/>
  <c r="K101" i="56" s="1"/>
  <c r="F100" i="56"/>
  <c r="G100" i="56" s="1"/>
  <c r="J100" i="56" s="1"/>
  <c r="K100" i="56" s="1"/>
  <c r="F99" i="56"/>
  <c r="G99" i="56" s="1"/>
  <c r="J99" i="56" s="1"/>
  <c r="K99" i="56" s="1"/>
  <c r="F98" i="56"/>
  <c r="G98" i="56" s="1"/>
  <c r="J98" i="56" s="1"/>
  <c r="K98" i="56" s="1"/>
  <c r="F97" i="56"/>
  <c r="G97" i="56" s="1"/>
  <c r="J97" i="56" s="1"/>
  <c r="K97" i="56" s="1"/>
  <c r="G13" i="56"/>
  <c r="H13" i="56" s="1"/>
  <c r="I13" i="56" s="1"/>
  <c r="F92" i="56"/>
  <c r="J92" i="56" s="1"/>
  <c r="F91" i="56"/>
  <c r="J91" i="56" s="1"/>
  <c r="F90" i="56"/>
  <c r="J90" i="56" s="1"/>
  <c r="F89" i="56"/>
  <c r="G89" i="56" s="1"/>
  <c r="K89" i="56" s="1"/>
  <c r="F88" i="56"/>
  <c r="J88" i="56" s="1"/>
  <c r="F87" i="56"/>
  <c r="F85" i="56"/>
  <c r="G85" i="56" s="1"/>
  <c r="K85" i="56" s="1"/>
  <c r="F84" i="56"/>
  <c r="J84" i="56" s="1"/>
  <c r="F83" i="56"/>
  <c r="J83" i="56" s="1"/>
  <c r="F82" i="56"/>
  <c r="F81" i="56"/>
  <c r="G81" i="56" s="1"/>
  <c r="K81" i="56" s="1"/>
  <c r="F80" i="56"/>
  <c r="G80" i="56" s="1"/>
  <c r="K80" i="56" s="1"/>
  <c r="F78" i="56"/>
  <c r="G78" i="56" s="1"/>
  <c r="H78" i="56" s="1"/>
  <c r="I78" i="56" s="1"/>
  <c r="F77" i="56"/>
  <c r="G77" i="56" s="1"/>
  <c r="H77" i="56" s="1"/>
  <c r="I77" i="56" s="1"/>
  <c r="F76" i="56"/>
  <c r="G76" i="56" s="1"/>
  <c r="H76" i="56" s="1"/>
  <c r="I76" i="56" s="1"/>
  <c r="F75" i="56"/>
  <c r="G75" i="56" s="1"/>
  <c r="H75" i="56" s="1"/>
  <c r="I75" i="56" s="1"/>
  <c r="F73" i="56"/>
  <c r="G73" i="56" s="1"/>
  <c r="H73" i="56" s="1"/>
  <c r="I73" i="56" s="1"/>
  <c r="F72" i="56"/>
  <c r="G72" i="56" s="1"/>
  <c r="H72" i="56" s="1"/>
  <c r="I72" i="56" s="1"/>
  <c r="F71" i="56"/>
  <c r="G71" i="56" s="1"/>
  <c r="H71" i="56" s="1"/>
  <c r="I71" i="56" s="1"/>
  <c r="F70" i="56"/>
  <c r="G70" i="56" s="1"/>
  <c r="H70" i="56" s="1"/>
  <c r="I70" i="56" s="1"/>
  <c r="F69" i="56"/>
  <c r="G69" i="56" s="1"/>
  <c r="H69" i="56" s="1"/>
  <c r="I69" i="56" s="1"/>
  <c r="F68" i="56"/>
  <c r="G68" i="56" s="1"/>
  <c r="H68" i="56" s="1"/>
  <c r="I68" i="56" s="1"/>
  <c r="F13" i="56"/>
  <c r="F23" i="56"/>
  <c r="G23" i="56" s="1"/>
  <c r="H23" i="56" s="1"/>
  <c r="I23" i="56" s="1"/>
  <c r="F62" i="56"/>
  <c r="G62" i="56" s="1"/>
  <c r="H62" i="56" s="1"/>
  <c r="I62" i="56" s="1"/>
  <c r="F61" i="56"/>
  <c r="G61" i="56" s="1"/>
  <c r="H61" i="56" s="1"/>
  <c r="I61" i="56" s="1"/>
  <c r="F60" i="56"/>
  <c r="G60" i="56" s="1"/>
  <c r="H60" i="56" s="1"/>
  <c r="I60" i="56" s="1"/>
  <c r="F59" i="56"/>
  <c r="G59" i="56" s="1"/>
  <c r="H59" i="56" s="1"/>
  <c r="I59" i="56" s="1"/>
  <c r="F58" i="56"/>
  <c r="G58" i="56" s="1"/>
  <c r="H58" i="56" s="1"/>
  <c r="I58" i="56" s="1"/>
  <c r="F57" i="56"/>
  <c r="G57" i="56" s="1"/>
  <c r="H57" i="56" s="1"/>
  <c r="I57" i="56" s="1"/>
  <c r="F55" i="56"/>
  <c r="G55" i="56" s="1"/>
  <c r="H55" i="56" s="1"/>
  <c r="I55" i="56" s="1"/>
  <c r="F54" i="56"/>
  <c r="G54" i="56" s="1"/>
  <c r="H54" i="56" s="1"/>
  <c r="I54" i="56" s="1"/>
  <c r="F53" i="56"/>
  <c r="G53" i="56" s="1"/>
  <c r="H53" i="56" s="1"/>
  <c r="I53" i="56" s="1"/>
  <c r="F52" i="56"/>
  <c r="G52" i="56" s="1"/>
  <c r="H52" i="56" s="1"/>
  <c r="I52" i="56" s="1"/>
  <c r="F51" i="56"/>
  <c r="G51" i="56" s="1"/>
  <c r="H51" i="56" s="1"/>
  <c r="I51" i="56" s="1"/>
  <c r="F50" i="56"/>
  <c r="G50" i="56" s="1"/>
  <c r="H50" i="56" s="1"/>
  <c r="I50" i="56" s="1"/>
  <c r="F48" i="56"/>
  <c r="G48" i="56" s="1"/>
  <c r="H48" i="56" s="1"/>
  <c r="I48" i="56" s="1"/>
  <c r="F47" i="56"/>
  <c r="G47" i="56" s="1"/>
  <c r="H47" i="56" s="1"/>
  <c r="I47" i="56" s="1"/>
  <c r="F46" i="56"/>
  <c r="G46" i="56" s="1"/>
  <c r="H46" i="56" s="1"/>
  <c r="I46" i="56" s="1"/>
  <c r="F45" i="56"/>
  <c r="G45" i="56" s="1"/>
  <c r="H45" i="56" s="1"/>
  <c r="I45" i="56" s="1"/>
  <c r="F44" i="56"/>
  <c r="G44" i="56" s="1"/>
  <c r="H44" i="56" s="1"/>
  <c r="I44" i="56" s="1"/>
  <c r="F43" i="56"/>
  <c r="G43" i="56" s="1"/>
  <c r="H43" i="56" s="1"/>
  <c r="I43" i="56" s="1"/>
  <c r="F41" i="56"/>
  <c r="G41" i="56" s="1"/>
  <c r="H41" i="56" s="1"/>
  <c r="I41" i="56" s="1"/>
  <c r="F40" i="56"/>
  <c r="G40" i="56" s="1"/>
  <c r="H40" i="56" s="1"/>
  <c r="I40" i="56" s="1"/>
  <c r="F39" i="56"/>
  <c r="G39" i="56" s="1"/>
  <c r="H39" i="56" s="1"/>
  <c r="I39" i="56" s="1"/>
  <c r="F38" i="56"/>
  <c r="G38" i="56" s="1"/>
  <c r="H38" i="56" s="1"/>
  <c r="I38" i="56" s="1"/>
  <c r="F37" i="56"/>
  <c r="G37" i="56" s="1"/>
  <c r="H37" i="56" s="1"/>
  <c r="I37" i="56" s="1"/>
  <c r="F36" i="56"/>
  <c r="G36" i="56" s="1"/>
  <c r="H36" i="56" s="1"/>
  <c r="I36" i="56" s="1"/>
  <c r="F34" i="56"/>
  <c r="G34" i="56" s="1"/>
  <c r="H34" i="56" s="1"/>
  <c r="I34" i="56" s="1"/>
  <c r="F33" i="56"/>
  <c r="G33" i="56" s="1"/>
  <c r="H33" i="56" s="1"/>
  <c r="I33" i="56" s="1"/>
  <c r="F32" i="56"/>
  <c r="G32" i="56" s="1"/>
  <c r="H32" i="56" s="1"/>
  <c r="I32" i="56" s="1"/>
  <c r="F31" i="56"/>
  <c r="G31" i="56" s="1"/>
  <c r="H31" i="56" s="1"/>
  <c r="I31" i="56" s="1"/>
  <c r="F29" i="56"/>
  <c r="G29" i="56" s="1"/>
  <c r="H29" i="56" s="1"/>
  <c r="I29" i="56" s="1"/>
  <c r="F28" i="56"/>
  <c r="G28" i="56" s="1"/>
  <c r="H28" i="56" s="1"/>
  <c r="I28" i="56" s="1"/>
  <c r="F27" i="56"/>
  <c r="G27" i="56" s="1"/>
  <c r="H27" i="56" s="1"/>
  <c r="I27" i="56" s="1"/>
  <c r="D26" i="56"/>
  <c r="F26" i="56" s="1"/>
  <c r="G26" i="56" s="1"/>
  <c r="H26" i="56" s="1"/>
  <c r="I26" i="56" s="1"/>
  <c r="F25" i="56"/>
  <c r="G25" i="56" s="1"/>
  <c r="H25" i="56" s="1"/>
  <c r="I25" i="56" s="1"/>
  <c r="F22" i="56"/>
  <c r="G22" i="56" s="1"/>
  <c r="H22" i="56" s="1"/>
  <c r="I22" i="56" s="1"/>
  <c r="F21" i="56"/>
  <c r="G21" i="56" s="1"/>
  <c r="H21" i="56" s="1"/>
  <c r="I21" i="56" s="1"/>
  <c r="F20" i="56"/>
  <c r="G20" i="56" s="1"/>
  <c r="H20" i="56" s="1"/>
  <c r="I20" i="56" s="1"/>
  <c r="F17" i="56"/>
  <c r="G17" i="56" s="1"/>
  <c r="H17" i="56" s="1"/>
  <c r="I17" i="56" s="1"/>
  <c r="D16" i="56"/>
  <c r="F16" i="56" s="1"/>
  <c r="G16" i="56" s="1"/>
  <c r="H16" i="56" s="1"/>
  <c r="I16" i="56" s="1"/>
  <c r="F15" i="56"/>
  <c r="G15" i="56" s="1"/>
  <c r="H15" i="56" s="1"/>
  <c r="I15" i="56" s="1"/>
  <c r="G114" i="59"/>
  <c r="H229" i="59"/>
  <c r="J229" i="59" s="1"/>
  <c r="H228" i="59"/>
  <c r="J228" i="59" s="1"/>
  <c r="G218" i="59"/>
  <c r="H216" i="59"/>
  <c r="G211" i="59"/>
  <c r="H210" i="59"/>
  <c r="H209" i="59"/>
  <c r="G214" i="59"/>
  <c r="H213" i="59"/>
  <c r="H212" i="59"/>
  <c r="H217" i="59"/>
  <c r="H215" i="59"/>
  <c r="G207" i="59"/>
  <c r="H206" i="59"/>
  <c r="H205" i="59"/>
  <c r="G204" i="59"/>
  <c r="H203" i="59"/>
  <c r="H202" i="59"/>
  <c r="G201" i="59"/>
  <c r="H200" i="59"/>
  <c r="H199" i="59"/>
  <c r="G198" i="59"/>
  <c r="H197" i="59"/>
  <c r="H196" i="59"/>
  <c r="G191" i="59"/>
  <c r="H190" i="59"/>
  <c r="H189" i="59"/>
  <c r="G188" i="59"/>
  <c r="H187" i="59"/>
  <c r="H186" i="59"/>
  <c r="G185" i="59"/>
  <c r="H184" i="59"/>
  <c r="H183" i="59"/>
  <c r="G182" i="59"/>
  <c r="H181" i="59"/>
  <c r="H180" i="59"/>
  <c r="G178" i="59"/>
  <c r="H177" i="59"/>
  <c r="H176" i="59"/>
  <c r="G175" i="59"/>
  <c r="H174" i="59"/>
  <c r="H173" i="59"/>
  <c r="G172" i="59"/>
  <c r="H171" i="59"/>
  <c r="H170" i="59"/>
  <c r="G169" i="59"/>
  <c r="H168" i="59"/>
  <c r="H167" i="59"/>
  <c r="G161" i="59"/>
  <c r="H160" i="59"/>
  <c r="H159" i="59"/>
  <c r="G158" i="59"/>
  <c r="H157" i="59"/>
  <c r="H156" i="59"/>
  <c r="G155" i="59"/>
  <c r="H154" i="59"/>
  <c r="H153" i="59"/>
  <c r="G151" i="59"/>
  <c r="H150" i="59"/>
  <c r="H149" i="59"/>
  <c r="G148" i="59"/>
  <c r="H147" i="59"/>
  <c r="H146" i="59"/>
  <c r="G145" i="59"/>
  <c r="H144" i="59"/>
  <c r="H143" i="59"/>
  <c r="G141" i="59"/>
  <c r="H140" i="59"/>
  <c r="H139" i="59"/>
  <c r="G138" i="59"/>
  <c r="H137" i="59"/>
  <c r="H136" i="59"/>
  <c r="G135" i="59"/>
  <c r="H134" i="59"/>
  <c r="H133" i="59"/>
  <c r="H129" i="59"/>
  <c r="G131" i="59"/>
  <c r="H130" i="59"/>
  <c r="G128" i="59"/>
  <c r="H127" i="59"/>
  <c r="H126" i="59"/>
  <c r="G125" i="59"/>
  <c r="H124" i="59"/>
  <c r="H123" i="59"/>
  <c r="H119" i="59"/>
  <c r="H118" i="59"/>
  <c r="G109" i="59"/>
  <c r="I62" i="59"/>
  <c r="H61" i="59"/>
  <c r="H60" i="59"/>
  <c r="H67" i="59"/>
  <c r="H66" i="59"/>
  <c r="H65" i="59"/>
  <c r="H64" i="59"/>
  <c r="G59" i="59"/>
  <c r="G53" i="59"/>
  <c r="H55" i="59"/>
  <c r="H57" i="59"/>
  <c r="H56" i="59"/>
  <c r="H54" i="59"/>
  <c r="G50" i="59"/>
  <c r="H52" i="59"/>
  <c r="H51" i="59"/>
  <c r="G47" i="59"/>
  <c r="H48" i="59"/>
  <c r="H49" i="59"/>
  <c r="G44" i="59"/>
  <c r="H46" i="59"/>
  <c r="H45" i="59"/>
  <c r="G41" i="59"/>
  <c r="H43" i="59"/>
  <c r="H42" i="59"/>
  <c r="H25" i="59"/>
  <c r="H24" i="59"/>
  <c r="H23" i="59"/>
  <c r="H22" i="59"/>
  <c r="H30" i="59"/>
  <c r="F50" i="36"/>
  <c r="F7" i="36"/>
  <c r="F43" i="36"/>
  <c r="F36" i="36"/>
  <c r="F29" i="36"/>
  <c r="F23" i="36"/>
  <c r="F17" i="36"/>
  <c r="F12" i="36"/>
  <c r="F126" i="56" l="1"/>
  <c r="G126" i="56" s="1"/>
  <c r="J126" i="56" s="1"/>
  <c r="K126" i="56" s="1"/>
  <c r="J89" i="56"/>
  <c r="G127" i="56"/>
  <c r="J127" i="56" s="1"/>
  <c r="K127" i="56" s="1"/>
  <c r="F113" i="56"/>
  <c r="G113" i="56" s="1"/>
  <c r="J113" i="56" s="1"/>
  <c r="K113" i="56" s="1"/>
  <c r="F118" i="56"/>
  <c r="G118" i="56" s="1"/>
  <c r="J118" i="56" s="1"/>
  <c r="K118" i="56" s="1"/>
  <c r="H87" i="59"/>
  <c r="H218" i="59"/>
  <c r="J218" i="59" s="1"/>
  <c r="H78" i="59"/>
  <c r="H90" i="59"/>
  <c r="I90" i="59" s="1"/>
  <c r="H81" i="59"/>
  <c r="H75" i="59"/>
  <c r="H230" i="59"/>
  <c r="J230" i="59" s="1"/>
  <c r="H84" i="59"/>
  <c r="G90" i="56"/>
  <c r="K90" i="56" s="1"/>
  <c r="J85" i="56"/>
  <c r="G88" i="56"/>
  <c r="K88" i="56" s="1"/>
  <c r="J81" i="56"/>
  <c r="F96" i="56"/>
  <c r="F86" i="56"/>
  <c r="J86" i="56" s="1"/>
  <c r="G84" i="56"/>
  <c r="K84" i="56" s="1"/>
  <c r="G114" i="56"/>
  <c r="J114" i="56" s="1"/>
  <c r="K114" i="56" s="1"/>
  <c r="G87" i="56"/>
  <c r="K87" i="56" s="1"/>
  <c r="F79" i="56"/>
  <c r="G91" i="56"/>
  <c r="K91" i="56" s="1"/>
  <c r="J82" i="56"/>
  <c r="G82" i="56"/>
  <c r="K82" i="56" s="1"/>
  <c r="G92" i="56"/>
  <c r="K92" i="56" s="1"/>
  <c r="G83" i="56"/>
  <c r="K83" i="56" s="1"/>
  <c r="J87" i="56"/>
  <c r="J80" i="56"/>
  <c r="F105" i="56"/>
  <c r="F74" i="56"/>
  <c r="G74" i="56" s="1"/>
  <c r="H74" i="56" s="1"/>
  <c r="I74" i="56" s="1"/>
  <c r="F67" i="56"/>
  <c r="F14" i="56"/>
  <c r="G14" i="56" s="1"/>
  <c r="H14" i="56" s="1"/>
  <c r="I14" i="56" s="1"/>
  <c r="F24" i="56"/>
  <c r="G24" i="56" s="1"/>
  <c r="H24" i="56" s="1"/>
  <c r="I24" i="56" s="1"/>
  <c r="F19" i="56"/>
  <c r="G19" i="56" s="1"/>
  <c r="H19" i="56" s="1"/>
  <c r="I19" i="56" s="1"/>
  <c r="F30" i="56"/>
  <c r="G30" i="56" s="1"/>
  <c r="H30" i="56" s="1"/>
  <c r="I30" i="56" s="1"/>
  <c r="F35" i="56"/>
  <c r="G35" i="56" s="1"/>
  <c r="H35" i="56" s="1"/>
  <c r="I35" i="56" s="1"/>
  <c r="F56" i="56"/>
  <c r="G56" i="56" s="1"/>
  <c r="H56" i="56" s="1"/>
  <c r="I56" i="56" s="1"/>
  <c r="F49" i="56"/>
  <c r="G49" i="56" s="1"/>
  <c r="H49" i="56" s="1"/>
  <c r="I49" i="56" s="1"/>
  <c r="F42" i="56"/>
  <c r="G42" i="56" s="1"/>
  <c r="H42" i="56" s="1"/>
  <c r="I42" i="56" s="1"/>
  <c r="H211" i="59"/>
  <c r="H204" i="59"/>
  <c r="J204" i="59" s="1"/>
  <c r="H214" i="59"/>
  <c r="J214" i="59" s="1"/>
  <c r="H207" i="59"/>
  <c r="J207" i="59" s="1"/>
  <c r="H201" i="59"/>
  <c r="J201" i="59" s="1"/>
  <c r="H198" i="59"/>
  <c r="J198" i="59" s="1"/>
  <c r="H188" i="59"/>
  <c r="J188" i="59" s="1"/>
  <c r="G179" i="59"/>
  <c r="H191" i="59"/>
  <c r="J191" i="59" s="1"/>
  <c r="H185" i="59"/>
  <c r="J185" i="59" s="1"/>
  <c r="H182" i="59"/>
  <c r="J182" i="59" s="1"/>
  <c r="H178" i="59"/>
  <c r="J178" i="59" s="1"/>
  <c r="H172" i="59"/>
  <c r="J172" i="59" s="1"/>
  <c r="H175" i="59"/>
  <c r="J175" i="59" s="1"/>
  <c r="H161" i="59"/>
  <c r="J161" i="59" s="1"/>
  <c r="H169" i="59"/>
  <c r="J169" i="59" s="1"/>
  <c r="H158" i="59"/>
  <c r="J158" i="59" s="1"/>
  <c r="H155" i="59"/>
  <c r="J155" i="59" s="1"/>
  <c r="H145" i="59"/>
  <c r="J145" i="59" s="1"/>
  <c r="H151" i="59"/>
  <c r="J151" i="59" s="1"/>
  <c r="H148" i="59"/>
  <c r="J148" i="59" s="1"/>
  <c r="H138" i="59"/>
  <c r="J138" i="59" s="1"/>
  <c r="H135" i="59"/>
  <c r="J135" i="59" s="1"/>
  <c r="H141" i="59"/>
  <c r="J141" i="59" s="1"/>
  <c r="H128" i="59"/>
  <c r="J128" i="59" s="1"/>
  <c r="H125" i="59"/>
  <c r="J125" i="59" s="1"/>
  <c r="H131" i="59"/>
  <c r="J131" i="59" s="1"/>
  <c r="H115" i="59"/>
  <c r="J115" i="59" s="1"/>
  <c r="H59" i="59"/>
  <c r="I59" i="59" s="1"/>
  <c r="H63" i="59"/>
  <c r="I63" i="59" s="1"/>
  <c r="H53" i="59"/>
  <c r="I53" i="59" s="1"/>
  <c r="H41" i="59"/>
  <c r="I41" i="59" s="1"/>
  <c r="H44" i="59"/>
  <c r="I44" i="59" s="1"/>
  <c r="H21" i="59"/>
  <c r="I21" i="59" s="1"/>
  <c r="H47" i="59"/>
  <c r="I47" i="59" s="1"/>
  <c r="H50" i="59"/>
  <c r="I50" i="59" s="1"/>
  <c r="F37" i="53"/>
  <c r="F36" i="53"/>
  <c r="F35" i="53"/>
  <c r="F33" i="53"/>
  <c r="F32" i="53"/>
  <c r="F31" i="53"/>
  <c r="F30" i="53"/>
  <c r="F29" i="53"/>
  <c r="F28" i="53"/>
  <c r="F27" i="53"/>
  <c r="F24" i="53"/>
  <c r="F23" i="53"/>
  <c r="F22" i="53"/>
  <c r="F20" i="53"/>
  <c r="F19" i="53"/>
  <c r="F18" i="53"/>
  <c r="F17" i="53"/>
  <c r="F16" i="53"/>
  <c r="F15" i="53"/>
  <c r="F14" i="53"/>
  <c r="F11" i="53"/>
  <c r="F10" i="53"/>
  <c r="F9" i="53"/>
  <c r="F8" i="53"/>
  <c r="F7" i="53"/>
  <c r="F6" i="53"/>
  <c r="F5" i="53"/>
  <c r="F11" i="55"/>
  <c r="F10" i="55"/>
  <c r="F9" i="55"/>
  <c r="F8" i="55"/>
  <c r="F7" i="55"/>
  <c r="F6" i="55"/>
  <c r="F15" i="55"/>
  <c r="G67" i="56" l="1"/>
  <c r="F66" i="56"/>
  <c r="G86" i="56"/>
  <c r="K86" i="56" s="1"/>
  <c r="F117" i="56"/>
  <c r="G117" i="56" s="1"/>
  <c r="J117" i="56" s="1"/>
  <c r="K117" i="56" s="1"/>
  <c r="H208" i="59"/>
  <c r="G96" i="56"/>
  <c r="G105" i="56"/>
  <c r="J105" i="56" s="1"/>
  <c r="K105" i="56" s="1"/>
  <c r="F104" i="56"/>
  <c r="G104" i="56" s="1"/>
  <c r="J104" i="56" s="1"/>
  <c r="K104" i="56" s="1"/>
  <c r="J79" i="56"/>
  <c r="J66" i="56" s="1"/>
  <c r="G79" i="56"/>
  <c r="K79" i="56" s="1"/>
  <c r="H67" i="56"/>
  <c r="F18" i="56"/>
  <c r="H195" i="59"/>
  <c r="J195" i="59" s="1"/>
  <c r="H179" i="59"/>
  <c r="J179" i="59" s="1"/>
  <c r="H166" i="59"/>
  <c r="J166" i="59" s="1"/>
  <c r="H152" i="59"/>
  <c r="J152" i="59" s="1"/>
  <c r="H142" i="59"/>
  <c r="J142" i="59" s="1"/>
  <c r="H132" i="59"/>
  <c r="J132" i="59" s="1"/>
  <c r="I58" i="59"/>
  <c r="H122" i="59"/>
  <c r="F21" i="53"/>
  <c r="F13" i="53"/>
  <c r="F26" i="53"/>
  <c r="F34" i="53"/>
  <c r="F4" i="53"/>
  <c r="F5" i="55"/>
  <c r="D11" i="49"/>
  <c r="G40" i="59"/>
  <c r="H227" i="59"/>
  <c r="H19" i="59"/>
  <c r="I19" i="59" s="1"/>
  <c r="H20" i="59"/>
  <c r="I20" i="59" s="1"/>
  <c r="H94" i="56"/>
  <c r="G131" i="56"/>
  <c r="K66" i="56" l="1"/>
  <c r="F12" i="53"/>
  <c r="J122" i="59"/>
  <c r="G95" i="56"/>
  <c r="J95" i="56" s="1"/>
  <c r="K95" i="56" s="1"/>
  <c r="J96" i="56"/>
  <c r="K96" i="56" s="1"/>
  <c r="F95" i="56"/>
  <c r="F94" i="56" s="1"/>
  <c r="I67" i="56"/>
  <c r="H66" i="56"/>
  <c r="I66" i="56" s="1"/>
  <c r="F12" i="56"/>
  <c r="G18" i="56"/>
  <c r="H18" i="56" s="1"/>
  <c r="I18" i="56" s="1"/>
  <c r="G66" i="56"/>
  <c r="F25" i="53"/>
  <c r="F3" i="53" s="1"/>
  <c r="J227" i="59"/>
  <c r="I94" i="56"/>
  <c r="G94" i="59"/>
  <c r="H192" i="59"/>
  <c r="H226" i="59"/>
  <c r="J226" i="59" s="1"/>
  <c r="H225" i="59"/>
  <c r="H193" i="59"/>
  <c r="G194" i="59"/>
  <c r="H163" i="59"/>
  <c r="H162" i="59"/>
  <c r="H110" i="59"/>
  <c r="J110" i="59" s="1"/>
  <c r="G103" i="59"/>
  <c r="H102" i="59"/>
  <c r="H101" i="59"/>
  <c r="G100" i="59"/>
  <c r="H99" i="59"/>
  <c r="H98" i="59"/>
  <c r="H39" i="59"/>
  <c r="H38" i="59"/>
  <c r="G35" i="59"/>
  <c r="H31" i="59"/>
  <c r="H34" i="59"/>
  <c r="H33" i="59"/>
  <c r="H18" i="59"/>
  <c r="H13" i="59" s="1"/>
  <c r="F132" i="56"/>
  <c r="F16" i="55"/>
  <c r="F14" i="55"/>
  <c r="F13" i="55"/>
  <c r="F44" i="36"/>
  <c r="F53" i="36"/>
  <c r="F45" i="36"/>
  <c r="F38" i="36"/>
  <c r="F31" i="36"/>
  <c r="F30" i="36"/>
  <c r="F20" i="36"/>
  <c r="F49" i="36"/>
  <c r="F28" i="36"/>
  <c r="D18" i="36"/>
  <c r="F18" i="36" s="1"/>
  <c r="H113" i="59"/>
  <c r="H112" i="59"/>
  <c r="H108" i="59"/>
  <c r="H107" i="59"/>
  <c r="G97" i="59"/>
  <c r="H93" i="59"/>
  <c r="G72" i="59"/>
  <c r="D8" i="36"/>
  <c r="F8" i="36" s="1"/>
  <c r="E11" i="49"/>
  <c r="H71" i="59"/>
  <c r="K5" i="36"/>
  <c r="H95" i="59"/>
  <c r="H106" i="59"/>
  <c r="J105" i="59"/>
  <c r="H92" i="59"/>
  <c r="H9" i="59"/>
  <c r="H8" i="59"/>
  <c r="F135" i="56" l="1"/>
  <c r="G94" i="56"/>
  <c r="J106" i="59"/>
  <c r="J225" i="59"/>
  <c r="H223" i="59"/>
  <c r="I13" i="59"/>
  <c r="I18" i="59"/>
  <c r="K131" i="56"/>
  <c r="J94" i="56"/>
  <c r="H7" i="59"/>
  <c r="I7" i="59" s="1"/>
  <c r="F12" i="55"/>
  <c r="G26" i="59"/>
  <c r="H94" i="59"/>
  <c r="H32" i="59"/>
  <c r="I32" i="59" s="1"/>
  <c r="H194" i="59"/>
  <c r="H165" i="59" s="1"/>
  <c r="H164" i="59"/>
  <c r="H103" i="59"/>
  <c r="I103" i="59" s="1"/>
  <c r="H100" i="59"/>
  <c r="I100" i="59" s="1"/>
  <c r="I87" i="59"/>
  <c r="I84" i="59"/>
  <c r="I78" i="59"/>
  <c r="H40" i="59"/>
  <c r="H36" i="59" s="1"/>
  <c r="I81" i="59"/>
  <c r="H70" i="59"/>
  <c r="H72" i="59" s="1"/>
  <c r="I72" i="59" s="1"/>
  <c r="H35" i="59"/>
  <c r="I35" i="59" s="1"/>
  <c r="H114" i="59"/>
  <c r="J111" i="59" s="1"/>
  <c r="H97" i="59"/>
  <c r="I75" i="59"/>
  <c r="H109" i="59"/>
  <c r="H104" i="59" s="1"/>
  <c r="J164" i="59" l="1"/>
  <c r="J121" i="59"/>
  <c r="J104" i="59"/>
  <c r="J68" i="59" s="1"/>
  <c r="J109" i="59"/>
  <c r="I36" i="59"/>
  <c r="I40" i="59"/>
  <c r="H69" i="59"/>
  <c r="J223" i="59"/>
  <c r="J211" i="59"/>
  <c r="J165" i="59"/>
  <c r="J194" i="59"/>
  <c r="J114" i="59"/>
  <c r="I91" i="59"/>
  <c r="I94" i="59"/>
  <c r="I97" i="59"/>
  <c r="F51" i="36"/>
  <c r="F52" i="36"/>
  <c r="F54" i="36"/>
  <c r="F42" i="36"/>
  <c r="F46" i="36"/>
  <c r="F47" i="36"/>
  <c r="F35" i="36"/>
  <c r="F37" i="36"/>
  <c r="F39" i="36"/>
  <c r="F40" i="36"/>
  <c r="F32" i="36"/>
  <c r="F33" i="36"/>
  <c r="F14" i="36"/>
  <c r="F18" i="55"/>
  <c r="F19" i="55"/>
  <c r="F20" i="55"/>
  <c r="F21" i="55"/>
  <c r="F22" i="55"/>
  <c r="F23" i="55"/>
  <c r="F25" i="55"/>
  <c r="F26" i="55"/>
  <c r="F27" i="55"/>
  <c r="F28" i="55"/>
  <c r="F29" i="55"/>
  <c r="F30" i="55"/>
  <c r="F5" i="36"/>
  <c r="F9" i="36"/>
  <c r="F13" i="36"/>
  <c r="F15" i="36"/>
  <c r="F19" i="36"/>
  <c r="F21" i="36"/>
  <c r="F24" i="36"/>
  <c r="F25" i="36"/>
  <c r="F26" i="36"/>
  <c r="D11" i="47"/>
  <c r="F11" i="47" s="1"/>
  <c r="D17" i="47"/>
  <c r="F17" i="47" s="1"/>
  <c r="F16" i="47"/>
  <c r="F15" i="47"/>
  <c r="F14" i="47"/>
  <c r="F13" i="47"/>
  <c r="F10" i="47"/>
  <c r="F9" i="47"/>
  <c r="F8" i="47"/>
  <c r="F7" i="47"/>
  <c r="B10" i="42"/>
  <c r="B16" i="42"/>
  <c r="B15" i="42"/>
  <c r="B13" i="42"/>
  <c r="B8" i="42"/>
  <c r="F26" i="41"/>
  <c r="F25" i="41"/>
  <c r="F24" i="41"/>
  <c r="F23" i="41"/>
  <c r="F22" i="41"/>
  <c r="F21" i="41"/>
  <c r="F20" i="41"/>
  <c r="F19" i="41"/>
  <c r="F9" i="41"/>
  <c r="F10" i="41"/>
  <c r="F11" i="41"/>
  <c r="F12" i="41"/>
  <c r="F13" i="41"/>
  <c r="F14" i="41"/>
  <c r="F15" i="41"/>
  <c r="F16" i="41"/>
  <c r="F19" i="38"/>
  <c r="G19" i="38" s="1"/>
  <c r="G18" i="38"/>
  <c r="F16" i="38"/>
  <c r="G16" i="38" s="1"/>
  <c r="F15" i="38"/>
  <c r="G15" i="38" s="1"/>
  <c r="F14" i="38"/>
  <c r="G14" i="38" s="1"/>
  <c r="F12" i="38"/>
  <c r="G12" i="38" s="1"/>
  <c r="F11" i="38"/>
  <c r="G11" i="38" s="1"/>
  <c r="F10" i="38"/>
  <c r="G10" i="38" s="1"/>
  <c r="F9" i="38"/>
  <c r="G9" i="38" s="1"/>
  <c r="F8" i="38"/>
  <c r="G8" i="38" s="1"/>
  <c r="F7" i="38"/>
  <c r="G7" i="38" s="1"/>
  <c r="G4" i="38"/>
  <c r="J5" i="31"/>
  <c r="L5" i="31" s="1"/>
  <c r="J7" i="31"/>
  <c r="L7" i="31" s="1"/>
  <c r="J9" i="31"/>
  <c r="L9" i="31" s="1"/>
  <c r="J11" i="31"/>
  <c r="L11" i="31" s="1"/>
  <c r="J13" i="31"/>
  <c r="K13" i="31" s="1"/>
  <c r="J15" i="31"/>
  <c r="L15" i="31" s="1"/>
  <c r="J8" i="31"/>
  <c r="K8" i="31" s="1"/>
  <c r="J12" i="31"/>
  <c r="L12" i="31" s="1"/>
  <c r="J14" i="31"/>
  <c r="L14" i="31" s="1"/>
  <c r="J16" i="31"/>
  <c r="L16" i="31" s="1"/>
  <c r="F19" i="29"/>
  <c r="F18" i="29"/>
  <c r="F17" i="29"/>
  <c r="F16" i="29"/>
  <c r="F15" i="29"/>
  <c r="F14" i="29"/>
  <c r="F12" i="29"/>
  <c r="F11" i="29"/>
  <c r="F10" i="29"/>
  <c r="F9" i="29"/>
  <c r="F8" i="29"/>
  <c r="F7" i="29"/>
  <c r="F6" i="28"/>
  <c r="F8" i="28"/>
  <c r="D9" i="28"/>
  <c r="F9" i="28" s="1"/>
  <c r="D10" i="28"/>
  <c r="F10" i="28" s="1"/>
  <c r="D13" i="28"/>
  <c r="F13" i="28" s="1"/>
  <c r="D14" i="28"/>
  <c r="F14" i="28" s="1"/>
  <c r="F15" i="28"/>
  <c r="F16" i="28"/>
  <c r="D18" i="28"/>
  <c r="F18" i="28" s="1"/>
  <c r="D19" i="28"/>
  <c r="F19" i="28" s="1"/>
  <c r="F20" i="28"/>
  <c r="D22" i="28"/>
  <c r="F22" i="28" s="1"/>
  <c r="D23" i="28"/>
  <c r="F23" i="28" s="1"/>
  <c r="F24" i="28"/>
  <c r="F25" i="28"/>
  <c r="C9" i="17"/>
  <c r="G37" i="14" s="1"/>
  <c r="C6" i="17"/>
  <c r="G34" i="14" s="1"/>
  <c r="D7" i="18"/>
  <c r="E7" i="18" s="1"/>
  <c r="G7" i="18" s="1"/>
  <c r="G64" i="18"/>
  <c r="G65" i="18"/>
  <c r="G63" i="18"/>
  <c r="G18" i="18"/>
  <c r="G19" i="18"/>
  <c r="G13" i="18"/>
  <c r="F11" i="18"/>
  <c r="J41" i="14"/>
  <c r="B28" i="14"/>
  <c r="B27" i="14"/>
  <c r="C8" i="17"/>
  <c r="G36" i="14" s="1"/>
  <c r="C12" i="22"/>
  <c r="D12" i="22" s="1"/>
  <c r="G50" i="18"/>
  <c r="C13" i="22"/>
  <c r="E13" i="22" s="1"/>
  <c r="C21" i="15"/>
  <c r="C20" i="15"/>
  <c r="E20" i="15" s="1"/>
  <c r="C15" i="15"/>
  <c r="C11" i="15"/>
  <c r="C10" i="15"/>
  <c r="E10" i="15" s="1"/>
  <c r="F7" i="20"/>
  <c r="C16" i="15"/>
  <c r="C4" i="22"/>
  <c r="D4" i="22" s="1"/>
  <c r="C22" i="22"/>
  <c r="D22" i="22" s="1"/>
  <c r="C21" i="22"/>
  <c r="D21" i="22" s="1"/>
  <c r="C18" i="22"/>
  <c r="E18" i="22" s="1"/>
  <c r="C9" i="22"/>
  <c r="E9" i="22" s="1"/>
  <c r="C17" i="22"/>
  <c r="D17" i="22" s="1"/>
  <c r="C16" i="22"/>
  <c r="D16" i="22" s="1"/>
  <c r="C15" i="22"/>
  <c r="E15" i="22" s="1"/>
  <c r="C14" i="22"/>
  <c r="D14" i="22" s="1"/>
  <c r="C11" i="22"/>
  <c r="D11" i="22" s="1"/>
  <c r="C5" i="22"/>
  <c r="E5" i="22" s="1"/>
  <c r="C10" i="22"/>
  <c r="D10" i="22" s="1"/>
  <c r="C8" i="22"/>
  <c r="E8" i="22" s="1"/>
  <c r="C7" i="22"/>
  <c r="D7" i="22" s="1"/>
  <c r="C6" i="22"/>
  <c r="D6" i="22" s="1"/>
  <c r="C20" i="22"/>
  <c r="D20" i="22" s="1"/>
  <c r="G68" i="18"/>
  <c r="G67" i="18"/>
  <c r="G61" i="18"/>
  <c r="G60" i="18"/>
  <c r="G56" i="18"/>
  <c r="G57" i="18"/>
  <c r="G58" i="18"/>
  <c r="G55" i="18"/>
  <c r="G53" i="18"/>
  <c r="G51" i="18" s="1"/>
  <c r="G26" i="14" s="1"/>
  <c r="G52" i="18"/>
  <c r="G49" i="18"/>
  <c r="G48" i="18"/>
  <c r="G44" i="18"/>
  <c r="G45" i="18"/>
  <c r="G43" i="18"/>
  <c r="G40" i="18"/>
  <c r="G41" i="18"/>
  <c r="G39" i="18"/>
  <c r="G36" i="18"/>
  <c r="G35" i="18"/>
  <c r="G32" i="18"/>
  <c r="G33" i="18"/>
  <c r="G31" i="18"/>
  <c r="G29" i="18"/>
  <c r="G28" i="18" s="1"/>
  <c r="G18" i="14" s="1"/>
  <c r="G26" i="18"/>
  <c r="E27" i="18"/>
  <c r="G27" i="18" s="1"/>
  <c r="E22" i="18"/>
  <c r="G22" i="18" s="1"/>
  <c r="G23" i="18"/>
  <c r="E21" i="18"/>
  <c r="G21" i="18" s="1"/>
  <c r="E10" i="18"/>
  <c r="G10" i="18" s="1"/>
  <c r="E9" i="18"/>
  <c r="G9" i="18" s="1"/>
  <c r="B36" i="14"/>
  <c r="A32" i="14"/>
  <c r="A33" i="14"/>
  <c r="A34" i="14"/>
  <c r="A35" i="14"/>
  <c r="A37" i="14"/>
  <c r="B33" i="14"/>
  <c r="B34" i="14"/>
  <c r="B35" i="14"/>
  <c r="B37" i="14"/>
  <c r="B4" i="17"/>
  <c r="B32" i="14" s="1"/>
  <c r="F6" i="20"/>
  <c r="F4" i="20"/>
  <c r="F5" i="20"/>
  <c r="F3" i="20"/>
  <c r="C19" i="22"/>
  <c r="E19" i="22" s="1"/>
  <c r="E9" i="15"/>
  <c r="B7" i="14"/>
  <c r="B15" i="14"/>
  <c r="B16" i="14"/>
  <c r="B17" i="14"/>
  <c r="B10" i="14"/>
  <c r="B9" i="14"/>
  <c r="B8" i="14"/>
  <c r="F6" i="18"/>
  <c r="F70" i="18" s="1"/>
  <c r="F71" i="18" s="1"/>
  <c r="E14" i="22"/>
  <c r="G35" i="14"/>
  <c r="B18" i="14"/>
  <c r="B19" i="14"/>
  <c r="A15" i="14"/>
  <c r="B13" i="14"/>
  <c r="B12" i="14"/>
  <c r="D13" i="22"/>
  <c r="E69" i="18"/>
  <c r="G69" i="18" s="1"/>
  <c r="I10" i="15"/>
  <c r="I8" i="15"/>
  <c r="I21" i="15"/>
  <c r="I20" i="15"/>
  <c r="H25" i="15"/>
  <c r="E18" i="15"/>
  <c r="H24" i="15"/>
  <c r="J21" i="15"/>
  <c r="J20" i="15"/>
  <c r="I22" i="15"/>
  <c r="I13" i="14"/>
  <c r="I34" i="14"/>
  <c r="I35" i="14"/>
  <c r="B26" i="14"/>
  <c r="B25" i="14"/>
  <c r="B23" i="14"/>
  <c r="B22" i="14"/>
  <c r="B20" i="14"/>
  <c r="F18" i="22"/>
  <c r="B30" i="14"/>
  <c r="B24" i="14"/>
  <c r="B21" i="14"/>
  <c r="B16" i="22"/>
  <c r="B15" i="22"/>
  <c r="B14" i="22"/>
  <c r="B13" i="22"/>
  <c r="B12" i="22"/>
  <c r="B11" i="22"/>
  <c r="B10" i="22"/>
  <c r="B8" i="22"/>
  <c r="B7" i="22"/>
  <c r="B6" i="22"/>
  <c r="B4" i="22"/>
  <c r="F17" i="22"/>
  <c r="I12" i="14"/>
  <c r="F22" i="20"/>
  <c r="F21" i="20"/>
  <c r="F20" i="20"/>
  <c r="F19" i="20"/>
  <c r="F18" i="20"/>
  <c r="F17" i="20"/>
  <c r="F15" i="20"/>
  <c r="F14" i="20"/>
  <c r="F13" i="20"/>
  <c r="F12" i="20"/>
  <c r="F11" i="20"/>
  <c r="F10" i="20"/>
  <c r="E16" i="15"/>
  <c r="E21" i="15"/>
  <c r="I23" i="14"/>
  <c r="I25" i="14"/>
  <c r="I19" i="14"/>
  <c r="I26" i="14"/>
  <c r="I27" i="14"/>
  <c r="I20" i="14"/>
  <c r="I18" i="14"/>
  <c r="I15" i="14"/>
  <c r="I22" i="14"/>
  <c r="I24" i="14"/>
  <c r="E19" i="15"/>
  <c r="F20" i="15"/>
  <c r="H10" i="15"/>
  <c r="I37" i="14"/>
  <c r="I21" i="14"/>
  <c r="I30" i="14"/>
  <c r="H22" i="15"/>
  <c r="H23" i="15" s="1"/>
  <c r="I33" i="14"/>
  <c r="J33" i="14" s="1"/>
  <c r="C33" i="14"/>
  <c r="F33" i="14"/>
  <c r="F31" i="14" s="1"/>
  <c r="F34" i="14"/>
  <c r="B31" i="14"/>
  <c r="A31" i="14"/>
  <c r="A6" i="14"/>
  <c r="B6" i="14"/>
  <c r="E16" i="14"/>
  <c r="E15" i="15"/>
  <c r="E14" i="15"/>
  <c r="E13" i="15"/>
  <c r="E11" i="15"/>
  <c r="E8" i="15"/>
  <c r="F13" i="15"/>
  <c r="F17" i="15" s="1"/>
  <c r="H11" i="15"/>
  <c r="F12" i="14"/>
  <c r="E37" i="14"/>
  <c r="F37" i="14"/>
  <c r="E15" i="14"/>
  <c r="E12" i="14" s="1"/>
  <c r="E34" i="14"/>
  <c r="I17" i="14"/>
  <c r="I16" i="14"/>
  <c r="I11" i="14"/>
  <c r="E20" i="22"/>
  <c r="E11" i="22"/>
  <c r="K13" i="15"/>
  <c r="K14" i="15" s="1"/>
  <c r="E7" i="14"/>
  <c r="E6" i="14" s="1"/>
  <c r="F22" i="15"/>
  <c r="I6" i="14"/>
  <c r="I38" i="14"/>
  <c r="H39" i="14"/>
  <c r="J10" i="31"/>
  <c r="K10" i="31" s="1"/>
  <c r="J6" i="31"/>
  <c r="L6" i="31" s="1"/>
  <c r="D8" i="22"/>
  <c r="E22" i="22"/>
  <c r="E10" i="22" l="1"/>
  <c r="I26" i="59"/>
  <c r="H12" i="59"/>
  <c r="I12" i="59" s="1"/>
  <c r="I69" i="59"/>
  <c r="I68" i="59" s="1"/>
  <c r="J208" i="59"/>
  <c r="F16" i="20"/>
  <c r="E6" i="22"/>
  <c r="D18" i="22"/>
  <c r="F18" i="41"/>
  <c r="E17" i="41" s="1"/>
  <c r="F17" i="41" s="1"/>
  <c r="D5" i="22"/>
  <c r="G34" i="18"/>
  <c r="G20" i="14" s="1"/>
  <c r="E4" i="22"/>
  <c r="G42" i="18"/>
  <c r="G23" i="14" s="1"/>
  <c r="E7" i="22"/>
  <c r="E12" i="22"/>
  <c r="E12" i="15"/>
  <c r="G9" i="14" s="1"/>
  <c r="G66" i="18"/>
  <c r="G30" i="14" s="1"/>
  <c r="E16" i="22"/>
  <c r="F27" i="36"/>
  <c r="E31" i="14"/>
  <c r="J120" i="59"/>
  <c r="F16" i="36"/>
  <c r="F22" i="36"/>
  <c r="F38" i="14"/>
  <c r="F41" i="14" s="1"/>
  <c r="F42" i="14" s="1"/>
  <c r="G13" i="38"/>
  <c r="G62" i="18"/>
  <c r="G29" i="14" s="1"/>
  <c r="I11" i="15"/>
  <c r="G12" i="18"/>
  <c r="G14" i="14" s="1"/>
  <c r="E17" i="15"/>
  <c r="H18" i="15" s="1"/>
  <c r="H20" i="15" s="1"/>
  <c r="H21" i="15" s="1"/>
  <c r="G54" i="18"/>
  <c r="G27" i="14" s="1"/>
  <c r="F17" i="28"/>
  <c r="G8" i="56"/>
  <c r="G6" i="38"/>
  <c r="G20" i="18"/>
  <c r="E38" i="14"/>
  <c r="E41" i="14" s="1"/>
  <c r="E42" i="14" s="1"/>
  <c r="F2" i="20"/>
  <c r="C4" i="17" s="1"/>
  <c r="D9" i="22"/>
  <c r="D23" i="22" s="1"/>
  <c r="F7" i="28"/>
  <c r="G17" i="38"/>
  <c r="F12" i="47"/>
  <c r="F24" i="55"/>
  <c r="F34" i="36"/>
  <c r="D15" i="22"/>
  <c r="D19" i="22"/>
  <c r="E21" i="22"/>
  <c r="G25" i="18"/>
  <c r="G30" i="18"/>
  <c r="G19" i="14" s="1"/>
  <c r="G38" i="18"/>
  <c r="G22" i="14" s="1"/>
  <c r="F21" i="28"/>
  <c r="F8" i="41"/>
  <c r="E7" i="41" s="1"/>
  <c r="F7" i="41" s="1"/>
  <c r="F6" i="47"/>
  <c r="F41" i="36"/>
  <c r="F9" i="20"/>
  <c r="F8" i="20" s="1"/>
  <c r="E7" i="15"/>
  <c r="G47" i="18"/>
  <c r="G25" i="14" s="1"/>
  <c r="G59" i="18"/>
  <c r="G28" i="14" s="1"/>
  <c r="G6" i="18"/>
  <c r="G12" i="14" s="1"/>
  <c r="F6" i="29"/>
  <c r="F13" i="29"/>
  <c r="F11" i="36"/>
  <c r="F48" i="36"/>
  <c r="F6" i="36"/>
  <c r="G17" i="14"/>
  <c r="F17" i="55"/>
  <c r="C5" i="17"/>
  <c r="G33" i="14" s="1"/>
  <c r="G8" i="14"/>
  <c r="G15" i="14"/>
  <c r="F12" i="28"/>
  <c r="G10" i="14"/>
  <c r="E17" i="22"/>
  <c r="C23" i="22"/>
  <c r="K15" i="31"/>
  <c r="K7" i="31"/>
  <c r="K6" i="31"/>
  <c r="K9" i="31"/>
  <c r="L10" i="31"/>
  <c r="L13" i="31"/>
  <c r="K12" i="31"/>
  <c r="K5" i="31"/>
  <c r="L8" i="31"/>
  <c r="K14" i="31"/>
  <c r="K11" i="31"/>
  <c r="K16" i="31"/>
  <c r="F4" i="55" l="1"/>
  <c r="I11" i="59"/>
  <c r="I231" i="59" s="1"/>
  <c r="J11" i="59"/>
  <c r="J231" i="59" s="1"/>
  <c r="H10" i="45" s="1"/>
  <c r="H11" i="59"/>
  <c r="H231" i="59" s="1"/>
  <c r="F6" i="41"/>
  <c r="E23" i="22"/>
  <c r="G37" i="18"/>
  <c r="G21" i="14" s="1"/>
  <c r="C10" i="17"/>
  <c r="G31" i="14" s="1"/>
  <c r="F23" i="20"/>
  <c r="G5" i="38"/>
  <c r="E6" i="15"/>
  <c r="E5" i="15" s="1"/>
  <c r="J8" i="56"/>
  <c r="K8" i="56" s="1"/>
  <c r="H8" i="56"/>
  <c r="F10" i="36"/>
  <c r="F4" i="36" s="1"/>
  <c r="G32" i="14"/>
  <c r="I31" i="14" s="1"/>
  <c r="G46" i="18"/>
  <c r="G24" i="14" s="1"/>
  <c r="F5" i="47"/>
  <c r="F11" i="28"/>
  <c r="F5" i="28" s="1"/>
  <c r="G24" i="18"/>
  <c r="G16" i="14" s="1"/>
  <c r="G11" i="14" s="1"/>
  <c r="F5" i="29"/>
  <c r="I7" i="14"/>
  <c r="L17" i="31"/>
  <c r="L18" i="31"/>
  <c r="G7" i="14" l="1"/>
  <c r="G6" i="14" s="1"/>
  <c r="G11" i="18"/>
  <c r="G70" i="18" s="1"/>
  <c r="I8" i="56"/>
  <c r="I10" i="45"/>
  <c r="D8" i="48"/>
  <c r="D9" i="44"/>
  <c r="D6" i="48" s="1"/>
  <c r="D10" i="45"/>
  <c r="C10" i="45"/>
  <c r="G38" i="14"/>
  <c r="G42" i="14" s="1"/>
  <c r="F10" i="45" l="1"/>
  <c r="E10" i="45"/>
  <c r="G10" i="45" l="1"/>
  <c r="D7" i="48"/>
  <c r="D8" i="44"/>
  <c r="D6" i="44" s="1"/>
  <c r="G12" i="56" l="1"/>
  <c r="G135" i="56" s="1"/>
  <c r="H12" i="56" l="1"/>
  <c r="H135" i="56" s="1"/>
  <c r="I12" i="56" l="1"/>
  <c r="I135" i="56" s="1"/>
  <c r="J135" i="56"/>
  <c r="E17" i="45" l="1"/>
  <c r="E18" i="45" s="1"/>
  <c r="D17" i="45"/>
  <c r="C17" i="45" s="1"/>
  <c r="C18" i="45" s="1"/>
  <c r="H17" i="45"/>
  <c r="H18" i="45" s="1"/>
  <c r="K94" i="56"/>
  <c r="K135" i="56" s="1"/>
  <c r="G17" i="45" l="1"/>
  <c r="H9" i="44"/>
  <c r="H8" i="44" s="1"/>
  <c r="H6" i="44" s="1"/>
  <c r="D18" i="45"/>
  <c r="I17" i="45"/>
  <c r="F17" i="45"/>
  <c r="F18" i="45" s="1"/>
  <c r="H7" i="48" l="1"/>
  <c r="G18" i="45"/>
  <c r="C9" i="44"/>
  <c r="C8" i="44" s="1"/>
  <c r="C6" i="44" s="1"/>
  <c r="H6" i="48"/>
  <c r="I18" i="45"/>
  <c r="H8" i="48"/>
  <c r="C8" i="48" s="1"/>
  <c r="C7" i="48" l="1"/>
  <c r="C6" i="48"/>
  <c r="C5" i="48" s="1"/>
</calcChain>
</file>

<file path=xl/sharedStrings.xml><?xml version="1.0" encoding="utf-8"?>
<sst xmlns="http://schemas.openxmlformats.org/spreadsheetml/2006/main" count="1888" uniqueCount="739">
  <si>
    <t>TT</t>
  </si>
  <si>
    <t>Nội dung công việc</t>
  </si>
  <si>
    <t>Số lượng</t>
  </si>
  <si>
    <t>Đơn giá</t>
  </si>
  <si>
    <t>A</t>
  </si>
  <si>
    <t>I</t>
  </si>
  <si>
    <t>II</t>
  </si>
  <si>
    <t>B</t>
  </si>
  <si>
    <t>Chi khảo sát thu thập số liệu thực trạng (chi phương tiện đi lại, phụ cấp lưu trú, thuê phòng nghỉ)</t>
  </si>
  <si>
    <t>CHI HỘI NGHỊ, HỘI THẢO, NGHIỆM THU VÀ CÁC CHI PHÍ KHÁC</t>
  </si>
  <si>
    <t>Chi Hội đồng chuyên môn, nghiệm thu dự án</t>
  </si>
  <si>
    <t>Chi quản lý chung (5%)</t>
  </si>
  <si>
    <t>Chi phí 2018 (đ)</t>
  </si>
  <si>
    <t>Chi phí 2019 (đ)</t>
  </si>
  <si>
    <t>Chi phí đi lại (vé máy bay khứ hồi)</t>
  </si>
  <si>
    <t>C</t>
  </si>
  <si>
    <t>CỘNG (A + B + C)</t>
  </si>
  <si>
    <t>ĐIỀU TRA, KHẢO SÁT THU THẬP SỐ LIỆU</t>
  </si>
  <si>
    <t>BẢNG 5: DỰ TOÁN CHI HỘI NGHỊ, HỘI THẢO, NGHIỆM THU VÀ CÁC CHI PHÍ KHÁC</t>
  </si>
  <si>
    <t>Chi văn phòng phẩm, phô tô, in ấn tài liệu, chi khác…</t>
  </si>
  <si>
    <t>Đơn vị: đồng</t>
  </si>
  <si>
    <t>Ghi chú</t>
  </si>
  <si>
    <t>PHỤ LỤC II: DỰ TOÁN TỔNG HỢP</t>
  </si>
  <si>
    <t>Chi tiết dự toán tại Phụ lục III</t>
  </si>
  <si>
    <t>Chi tiết dự toán tại Phụ lục IV</t>
  </si>
  <si>
    <t>PHỤ LỤC III: DỰ TOÁN CHI TIẾT PHẦN ĐIỀU TRA, KHẢO SÁT 
THU THẬP SỐ LIỆU</t>
  </si>
  <si>
    <t>Tổng cộng</t>
  </si>
  <si>
    <t>Xây dựng Báo cáo tổng hợp kết quả nghiên cứu</t>
  </si>
  <si>
    <t>Xây dựng đề cương chi tiết</t>
  </si>
  <si>
    <t>Tổng</t>
  </si>
  <si>
    <t>Thành tiền</t>
  </si>
  <si>
    <t xml:space="preserve"> Định mức </t>
  </si>
  <si>
    <t>Khối lượng</t>
  </si>
  <si>
    <t>Đơn vị</t>
  </si>
  <si>
    <t>Phiếu đánh giá</t>
  </si>
  <si>
    <t>- Nhận xét đánh giá của ủy viên phản biện trong Hội đồng</t>
  </si>
  <si>
    <t>- Nhận xét đánh giá của ủy viên Hội đồng</t>
  </si>
  <si>
    <t>Người</t>
  </si>
  <si>
    <t>- Đại biểu được mời tham dự</t>
  </si>
  <si>
    <t>- Thư ký hội đồng</t>
  </si>
  <si>
    <t>- Thành viên hội đồng</t>
  </si>
  <si>
    <t>- Chủ tịch hội đồng</t>
  </si>
  <si>
    <t xml:space="preserve">Nghiệm thu cơ sở </t>
  </si>
  <si>
    <t>Tổng chi phí</t>
  </si>
  <si>
    <t>1.1</t>
  </si>
  <si>
    <t>1.2</t>
  </si>
  <si>
    <t>Nghiệm thu hội đồng Bộ</t>
  </si>
  <si>
    <t>Thành viên</t>
  </si>
  <si>
    <t>Đơn vị công tác</t>
  </si>
  <si>
    <t>Chức danh tham gia</t>
  </si>
  <si>
    <t>Chủ nhiệm</t>
  </si>
  <si>
    <t>Cộng:</t>
  </si>
  <si>
    <t>Lương cơ sở Lcs = 1,390 triệu đồng</t>
  </si>
  <si>
    <t>Số TT</t>
  </si>
  <si>
    <t>Cá nhân tham gia thực hiện nhiệm vụ</t>
  </si>
  <si>
    <r>
      <t xml:space="preserve">Tổng số ngày công </t>
    </r>
    <r>
      <rPr>
        <i/>
        <sz val="13"/>
        <rFont val="Times New Roman"/>
        <family val="1"/>
      </rPr>
      <t xml:space="preserve">(Snc) </t>
    </r>
    <r>
      <rPr>
        <b/>
        <sz val="13"/>
        <rFont val="Times New Roman"/>
        <family val="1"/>
      </rPr>
      <t xml:space="preserve"> </t>
    </r>
  </si>
  <si>
    <r>
      <t xml:space="preserve">Tiền công </t>
    </r>
    <r>
      <rPr>
        <sz val="13"/>
        <rFont val="Times New Roman"/>
        <family val="1"/>
      </rPr>
      <t>(Tc=Lcs x Hstcn x Snc) (đồng)</t>
    </r>
  </si>
  <si>
    <t>Nguyễn Thị Lan Anh</t>
  </si>
  <si>
    <t>Nguyễn Việt Dũng</t>
  </si>
  <si>
    <t>Nội dung công việc thực hiện</t>
  </si>
  <si>
    <t>Nguyễn Huy Dũng</t>
  </si>
  <si>
    <t>Nguyễn Tiến Hùng</t>
  </si>
  <si>
    <t>Phan Thị Hằng</t>
  </si>
  <si>
    <t>Đỗ Thị Ngọc Mai</t>
  </si>
  <si>
    <t>Bùi Thị Hồng Hiếu</t>
  </si>
  <si>
    <t>Vương Thu Hoài</t>
  </si>
  <si>
    <t>Phạm Trung Quân</t>
  </si>
  <si>
    <t>Nguyễn Thị Hạnh</t>
  </si>
  <si>
    <t>Nguyễn Tiến Trung</t>
  </si>
  <si>
    <t>Tổng cộng ngày công</t>
  </si>
  <si>
    <t>Tổng cộng tháng công/người</t>
  </si>
  <si>
    <t xml:space="preserve">Viện Quy hoạch Môi trường, Hạ tầng Kỹ thuật đô thị và nông thôn </t>
  </si>
  <si>
    <t>Tổng số tháng công</t>
  </si>
  <si>
    <t>THỰC HIỆN NỘI DUNG CHUYÊN MÔN</t>
  </si>
  <si>
    <r>
      <rPr>
        <b/>
        <sz val="15"/>
        <rFont val="Times New Roman"/>
        <family val="1"/>
      </rPr>
      <t>PHỤ LỤC 1: Giải trình chi tiết Khoản thuê khoán nhân công</t>
    </r>
    <r>
      <rPr>
        <sz val="15"/>
        <rFont val="Times New Roman"/>
        <family val="1"/>
      </rPr>
      <t xml:space="preserve"> </t>
    </r>
  </si>
  <si>
    <t>Số giờ công</t>
  </si>
  <si>
    <t>Hoàng Tuấn</t>
  </si>
  <si>
    <t>Đặng Quang Huy</t>
  </si>
  <si>
    <t>Tổng số ngày công</t>
  </si>
  <si>
    <t>Chi phí điện, nước</t>
  </si>
  <si>
    <t>TỔNG</t>
  </si>
  <si>
    <t>2.3.1</t>
  </si>
  <si>
    <t>2.3.2</t>
  </si>
  <si>
    <t>2.4.1</t>
  </si>
  <si>
    <t>2.4.2</t>
  </si>
  <si>
    <t>Xây dựng đề cương sơ bộ</t>
  </si>
  <si>
    <t xml:space="preserve">Xây dựng đề cương </t>
  </si>
  <si>
    <t>1.3</t>
  </si>
  <si>
    <t xml:space="preserve">Rà soát đánh giá quy hoạch, quản lý hạ tầng cấp nước đô thị tại 4 tỉnh/thành phố đại diện </t>
  </si>
  <si>
    <t>Tổng quan hiện trạng và quy hoạch cấp nước 04 đô thị</t>
  </si>
  <si>
    <t>Tổng hợp các kinh nghiệm quốc tế trong quy hoạch và quản lý cấp nước ứng phó với hạn hán, thiếu nước trong bối cảnh BĐKH</t>
  </si>
  <si>
    <t>Tổng hợp bài học, kinh nghiệm về quy hoạch cấp nước</t>
  </si>
  <si>
    <t>Tổng hợp bài học, kinh nghiệm về quản lý và vận hành cấp nước</t>
  </si>
  <si>
    <t>Tổng quan các dự án, chương trình liên quan tới cấp nước ứng phó với BĐKH của 04 đô thị</t>
  </si>
  <si>
    <t>Đánh giá hiệu quả trong công tác quy hoạch và quản lý cấp nước 04 đô thị.</t>
  </si>
  <si>
    <t>Đánh giá các thách thức và khó khăn trong công tác quy hoạch và quản lý cấp nước trong bối cảnh biến đổi khí hậu của 04 đô thị.</t>
  </si>
  <si>
    <t>Xây dựng các giải pháp quy hoạch và quản lý cấp nước đô thị</t>
  </si>
  <si>
    <t>Các giải pháp bổ sung cho quy hoạch cấp nước tại các khu vực hạn chế về nguồn nước.</t>
  </si>
  <si>
    <t>Các giải pháp về phân loại mục đích sử dụng.</t>
  </si>
  <si>
    <t>Các giải pháp dựa trên dịch vụ sinh thái, tuần hoàn, tái sử dụng</t>
  </si>
  <si>
    <t>Các giải pháp về quản lý cấp nước</t>
  </si>
  <si>
    <t>Tổng quan tác động của biến đổi khí 
hậu tới công tác cấp nước vùng ĐBSCL, Tây Nguyên và Nam Trung Bộ</t>
  </si>
  <si>
    <t>Gói</t>
  </si>
  <si>
    <t>Chủ trì</t>
  </si>
  <si>
    <t xml:space="preserve">Thư ký </t>
  </si>
  <si>
    <t>Báo cáo viên</t>
  </si>
  <si>
    <t>Thành viên tham gia</t>
  </si>
  <si>
    <t>Nước + Hậu cần</t>
  </si>
  <si>
    <t>Hội thảo chuyên đề nhóm chuyên gia (số lượng 2)</t>
  </si>
  <si>
    <t>CỘNG (I-II-III)</t>
  </si>
  <si>
    <t>Chi phi dịch tài liệu</t>
  </si>
  <si>
    <r>
      <t xml:space="preserve">Hệ số tiền công theo ngày </t>
    </r>
    <r>
      <rPr>
        <i/>
        <sz val="13"/>
        <rFont val="Times New Roman"/>
        <family val="1"/>
      </rPr>
      <t xml:space="preserve">(Hstcn) </t>
    </r>
  </si>
  <si>
    <t>BẢNG TỔNG HỢP NHÂN CÔNG THỰC HIỆN NHIỆM VỤ</t>
  </si>
  <si>
    <t>Hệ số tiền công theo ngày</t>
  </si>
  <si>
    <t>Thành viên chính</t>
  </si>
  <si>
    <t>ThS.</t>
  </si>
  <si>
    <t>KTS.</t>
  </si>
  <si>
    <t>Phạm Văn Quang</t>
  </si>
  <si>
    <t>CN.</t>
  </si>
  <si>
    <t>KS.</t>
  </si>
  <si>
    <t>Nguyễn Quang Hải</t>
  </si>
  <si>
    <t xml:space="preserve">Viện Quy hoạch ĐT-NT quốc gia </t>
  </si>
  <si>
    <t xml:space="preserve">TS. </t>
  </si>
  <si>
    <t>Phan Văn Minh</t>
  </si>
  <si>
    <t>Nguyễn Tiến Việt</t>
  </si>
  <si>
    <t>Nguyễn Thùy Linh</t>
  </si>
  <si>
    <t>2.3.4</t>
  </si>
  <si>
    <t>Điều tra, khảo sát tại Buôn Ma Thuột (7 người, 7 ngày)</t>
  </si>
  <si>
    <t xml:space="preserve">Điều tra, khảo sát tại Tp Tuy Hòa (7 người, 7 ngày) </t>
  </si>
  <si>
    <t>Điều tra, khảo sát tại Bến Tre và Tiền Giang và 1 số tỉnh lân cận (7 người, 15 ngày)</t>
  </si>
  <si>
    <t xml:space="preserve">Thuê phòng nghỉ (7 người x 6 đêm) </t>
  </si>
  <si>
    <t>Phụ cấp lưu trú (7 người x 7ngày x 200.000đ)</t>
  </si>
  <si>
    <t xml:space="preserve">Phụ cấp lưu trú (7 người x 7 ngày x 200.000đ) </t>
  </si>
  <si>
    <t xml:space="preserve">Thuê phòng nghỉ tại các tỉnh lân cận (7 người x 6 đêm) </t>
  </si>
  <si>
    <t>Phụ cấp lưu trú (7 người x 15 ngày x 200.000đ)</t>
  </si>
  <si>
    <t xml:space="preserve">Thuê phòng nghỉ  (7 người x 14 đêm) </t>
  </si>
  <si>
    <t>Chi phí thuê xe đi thực địa (2000 km x 10.000đ)</t>
  </si>
  <si>
    <t>Chi phí thuê xe đi thực địa (400 km x 10.000đ)</t>
  </si>
  <si>
    <t>Rà soát, đánh giá các văn bản quy phạm pháp luật về quy hoạch và quản lý cấp nước</t>
  </si>
  <si>
    <t>Nguyễn Huy DŨng</t>
  </si>
  <si>
    <t>Xây dựng Báo cáo tổng hợp kết quả nhiệm vụ</t>
  </si>
  <si>
    <t>Đề xuất nhằm bổ sung, chỉnh sửa các văn bản quy phạm pháp luật về quy hoạch và quản lý cấp nước</t>
  </si>
  <si>
    <t>2.7</t>
  </si>
  <si>
    <t>2.3.3</t>
  </si>
  <si>
    <t>2.5.1</t>
  </si>
  <si>
    <t>2.5.2</t>
  </si>
  <si>
    <t>2.5.3</t>
  </si>
  <si>
    <t>2.5.4</t>
  </si>
  <si>
    <t>Nhiệm vụ: Xây dựng tài liệu hướng dẫn đánh giá tác động của rủi ro trên nền dữ liệu atlats đô thị và khí hậu, thí điểm áp dựng cho thành phố Cần Thơ</t>
  </si>
  <si>
    <t xml:space="preserve">(Kèm theo Văn bản số 83 /CV-PTĐT ngày 15/3/2021 của Cục Phát triển đô thị
</t>
  </si>
  <si>
    <t xml:space="preserve"> Xây dựng tài liệu hướng dẫn đánh giá tác động của rủi ro trên nền dữ liệu atlats đô thị và khí hậu, thí điểm áp dựng cho thành phố Cần Thơ</t>
  </si>
  <si>
    <t>Xây dựng tài liệu hướng dẫn đánh giá tác động của rủi ro thiên tai và các hiện tượng cực đoan, hình thành bản đồ cảnh báo rủi ro do BĐKH, nước biển dâng cho các đô thị tại Việt Nam.</t>
  </si>
  <si>
    <t>Sản phẩm</t>
  </si>
  <si>
    <t>Nội dung</t>
  </si>
  <si>
    <t>Điều tra, thu thập dữ liệu, tài liệu, nghiên cứu đã thực hiện về việc đánh giá tác động của rủi ro thiên tai và các hiện tượng cực đoan tại các đô thị trên thế giới và tại Việt Nam (tài liệu trong và ngoài nước); Kế thừa kinh nghiệm thực hiện của các nhiệm vụ đã thực hiện trước đây để nghiên cứu áp dụng cho nhiệm vụ này</t>
  </si>
  <si>
    <t>Khảo sát, phân loại các tác động và phương thức đánh giá tác động của rủi ro thiên tai và các hiện tượng cực đoan đã và đang được thực hiện trong nước và trên thế giới (quy trình, cách thức thực hiện, phương pháp thu thập xử lý dữ liệu, công nghệ, chương trình, phần mềm ứng dụng …cách thức quản lý, rà soát, ứng dụng đánh giá tác động)</t>
  </si>
  <si>
    <t>Tổng hợp, đánh giá các kinh nghiệm về việc đánh giá tác động của rủi ro thiên tai và các hiện tượng cực đoan tại các đô thị khác nhau và nhiều cấp độ trong nước và trên thế giới</t>
  </si>
  <si>
    <t>Đề xuất cơ sở khoa học, phương pháp luận đánh giá tác động của rủi ro thiên tai và các hiện tượng cực đoan cho các đô thị tại Việt Nam;</t>
  </si>
  <si>
    <t>Đề xuất cách thức quản lý và sử dụng thông tin đánh giá tác động của rủi ro thiên tai và các hiện tượng cực đoan, bản đồ cảnh báo rủi ro do BĐKH, nước biển dâng cho các đô thị tại Việt Nam</t>
  </si>
  <si>
    <t>Tham vấn ý kiến chuyên gia về tài liệu hướng dẫn đánh giá tác động của rủi ro thiên tai và các hiện tượng cực đoan cho các đô thị tại Việt Nam.</t>
  </si>
  <si>
    <t>Vé</t>
  </si>
  <si>
    <t>Phụ lục 1.1. Bảng tổng hợp tiền công lao động của từng chức danh theo phụ lục 1</t>
  </si>
  <si>
    <t>Họ và tên</t>
  </si>
  <si>
    <t>Cơ quan công tác</t>
  </si>
  <si>
    <t>Chức danh</t>
  </si>
  <si>
    <t>Hệ số lao động khoa học (Hkh)</t>
  </si>
  <si>
    <t xml:space="preserve">Hệ số tiền công theo ngày (Hstcn) </t>
  </si>
  <si>
    <t>Thời gian làm việc cho đề tài (Số tháng quy đổi[1])</t>
  </si>
  <si>
    <t>Tháng công</t>
  </si>
  <si>
    <t>Tiền công trực tiếp theo chức danh</t>
  </si>
  <si>
    <t>Chủ nhiệm nhiệm vụ</t>
  </si>
  <si>
    <t>Thư ký</t>
  </si>
  <si>
    <t>Th.s Hoàng Thị Thảo</t>
  </si>
  <si>
    <t>[1]Một (01) tháng quy đổi là tháng gồm 22 ngày làm việc, mỗi ngày làm việc gồm 08 tiếng</t>
  </si>
  <si>
    <t>TS. Nguyễn Hùng Minh</t>
  </si>
  <si>
    <t>Xây dựng tài liệu hướng dẫn đánh giá tác động của rủi ro trên nền dữ liệu atlats đô thị và khí hậu, thí điểm áp dựng cho thành phố Cần Thơ</t>
  </si>
  <si>
    <t>Th.s Trần Thị Thu Trang</t>
  </si>
  <si>
    <t>Th.s Nguyễn Đặng Huy Anh</t>
  </si>
  <si>
    <t>Phó Giám đốc Trung tâm Ứng phó biến đổi khí hậu</t>
  </si>
  <si>
    <t>Trung tâm Ứng phó biến đổi khí hậu</t>
  </si>
  <si>
    <t>Th.s Trịnh Đình Duy</t>
  </si>
  <si>
    <t>Th.s Nguyễn Thị Minh Huệ</t>
  </si>
  <si>
    <t>Th.s Nguyễn Hữu Tài</t>
  </si>
  <si>
    <t>Th.s Trần Thu Huyền</t>
  </si>
  <si>
    <t>Th.s Nguyễn Thị Dung</t>
  </si>
  <si>
    <t>Trung tâm Bảo vệ tầng ô-dôn và Phát triển kinh tế các-bon thấp, Cục BĐKH</t>
  </si>
  <si>
    <t>Th.s Bùi Quang Tú</t>
  </si>
  <si>
    <t>Th.s Lê Thanh Tùng</t>
  </si>
  <si>
    <t>Tiền công (Tc=Lcs x Hstcn x Snc) (đồng)</t>
  </si>
  <si>
    <t>Xây dựng đề cương  nhiệm vụ</t>
  </si>
  <si>
    <t>Chi phí đi lại (vé máy bay khứ hồi cho 5 người; Hà Nội - Cần Thơ)</t>
  </si>
  <si>
    <t xml:space="preserve">Thuê phòng nghỉ (5 người x 6 đêm) </t>
  </si>
  <si>
    <t>Phụ cấp lưu trú (5 người x 7 ngày)</t>
  </si>
  <si>
    <t>PHỤ LỤC 4: NGHIỆM THU NHIỆM VỤ</t>
  </si>
  <si>
    <t>PHỤ LỤC 3:  ĐIỀU TRA, KHẢO SÁT  THU THẬP SỐ LIỆU</t>
  </si>
  <si>
    <t>PHỤ LỤC 2: HỘI THẢO NHIỆM VỤ</t>
  </si>
  <si>
    <t>Báo cáo tổng kết nhiệm vụ</t>
  </si>
  <si>
    <t>Thành tiền (đồng)</t>
  </si>
  <si>
    <t>Đơn giá (đồng)</t>
  </si>
  <si>
    <t>Đơn vị tính</t>
  </si>
  <si>
    <t>Lập mẫu phiếu điều tra</t>
  </si>
  <si>
    <t>phiếu mẫu</t>
  </si>
  <si>
    <t xml:space="preserve"> - Tiền lưu trú</t>
  </si>
  <si>
    <t>Ngày</t>
  </si>
  <si>
    <t xml:space="preserve"> - Tiền thuê phòng nghỉ </t>
  </si>
  <si>
    <t>Đêm</t>
  </si>
  <si>
    <t xml:space="preserve"> - Thuê xe  </t>
  </si>
  <si>
    <t>Km</t>
  </si>
  <si>
    <t>- Vé máy bay khứ hồi HN - TP.HCM và HCM - Hà Nội</t>
  </si>
  <si>
    <t>Thanh toán thực tế</t>
  </si>
  <si>
    <t>- Vé máy bay khứ hồi HN - Đà Nẵng và Đà Nẵng - Hà Nội</t>
  </si>
  <si>
    <t>III</t>
  </si>
  <si>
    <t>Điều tra, khảo sát, thu thập thông tin và số liệu cơ bản và cơ sở dữ liệu nền, quy hoạch chung và các vấn đề BĐKH của thành phố Cần Thơ (7 ngày x 5 người)</t>
  </si>
  <si>
    <t xml:space="preserve">Khảo sát, phân loại các tác động và phương thức đánh giá tác động của rủi ro thiên tai và các hiện tượng cực đoan đã và đang được thực hiện trong nước tại 3 miền </t>
  </si>
  <si>
    <t xml:space="preserve">Chi Hội đồng nghiệm thu </t>
  </si>
  <si>
    <r>
      <rPr>
        <b/>
        <sz val="11"/>
        <rFont val="Times New Roman"/>
        <family val="1"/>
      </rPr>
      <t>Miền Bắc:</t>
    </r>
    <r>
      <rPr>
        <sz val="11"/>
        <rFont val="Times New Roman"/>
        <family val="1"/>
      </rPr>
      <t xml:space="preserve"> Khảo sát, phân loại các tác động và phương thức đánh giá tác động của rủi ro thiên tai và các hiện tượng cực đoan đã và đang được thực hiện trong nước 
TP Hà Nội - TP Hải Phòng - TP Thái Bình 
(07 người x 12 ngày - 11 đêm)</t>
    </r>
  </si>
  <si>
    <t>cuộc</t>
  </si>
  <si>
    <r>
      <rPr>
        <b/>
        <sz val="11"/>
        <rFont val="Times New Roman"/>
        <family val="1"/>
      </rPr>
      <t>Miền Trung:</t>
    </r>
    <r>
      <rPr>
        <sz val="11"/>
        <rFont val="Times New Roman"/>
        <family val="1"/>
      </rPr>
      <t xml:space="preserve"> Khảo sát, phân loại các tác động và phương thức đánh giá tác động của rủi ro thiên tai và các hiện tượng cực đoan đã và đang được thực hiện trong nước TP Huế - TP Đà Nẵng - TP Tam Kỳ (Tỉnh Quảng Nam) 
(07 người x 12 ngày - 11 đêm)</t>
    </r>
  </si>
  <si>
    <r>
      <rPr>
        <b/>
        <sz val="11"/>
        <rFont val="Times New Roman"/>
        <family val="1"/>
      </rPr>
      <t xml:space="preserve">Miền Nam: </t>
    </r>
    <r>
      <rPr>
        <sz val="11"/>
        <rFont val="Times New Roman"/>
        <family val="1"/>
      </rPr>
      <t>Khảo sát, phân loại các tác động và phương thức đánh giá tác động của rủi ro thiên tai và các hiện tượng cực đoan đã và đang được thực hiện trong nước 
TP. Hồ Chí Minh - TP Cần Thơ - TP. Bến Tre
(07 người x 12 ngày - 11 đêm)</t>
    </r>
  </si>
  <si>
    <t>STT</t>
  </si>
  <si>
    <t>Max</t>
  </si>
  <si>
    <t>Min</t>
  </si>
  <si>
    <t>Ths. Đào Bạch Vân</t>
  </si>
  <si>
    <t>PHỤ LỤC 1:  DỰ TOÁN CHI TIẾT CHI PHÍ NHÂN CÔNG</t>
  </si>
  <si>
    <t>ĐVT</t>
  </si>
  <si>
    <t>Xây dựng tài liệu hướng dẫn đánh giá rủi ro khí hậu, hình thành bản đồ cảnh báo rủi ro khí hậu cho các đô thị tại Việt Nam</t>
  </si>
  <si>
    <t>Khảo sát, phân loại các tác động và phương thức đánh rủi ro khí hậu đã và đang được thực hiện trong nước (quy trình, cách thức thực hiện, phương pháp thu thập xử lý dữ liệu, công nghệ, chương trình, phần mềm ứng dụng …cách thức quản lý, rà soát, ứng dụng đánh giá rủi ro khí hậu)</t>
  </si>
  <si>
    <t>Đề xuất cơ sở khoa học, phương pháp luận đánh giá rủi ro khí hậu cho các đô thị tại Việt Nam</t>
  </si>
  <si>
    <t>Biên soạn tài liệu hướng dẫn đánh giá rủi ro khí hậu cho các đô thị tại Việt Nam (Hướng dẫn điều tra, thu thập số liệu, dữ liệu và bản đồ, đánh giá rủi ro của BĐKH đến các vấn đề phát triển đô thị, xây dựng cơ sở dữ liệu và thành lập các bản đồ chuyên đề cảnh báo rủi ro do BĐKH, nước biển dâng bằng các phần mềm GIS thông thường);</t>
  </si>
  <si>
    <t>Đề xuất cách thức quản lý và sử dụng thông tin đánh giá rủi ro khí hậu, bản đồ cảnh báo rủi ro khí hậu cho các đô thị tại Việt Nam</t>
  </si>
  <si>
    <t>Báo cáo khảo sát, phân loại các tác động và phương thức đánh giá rủi ro khí hậu đã và đang được thực hiện trong nước.</t>
  </si>
  <si>
    <t>Báo cáo đề xuất cơ sở khoa học, phương pháp luận đánh giá rủi ro khí hậu cho các đô thị tại Việt Nam</t>
  </si>
  <si>
    <t>Báo cáo đề xuất cách thức quản lý và sử dụng thông tin đánh giá rủi ro khí hậu - bản đồ cảnh báo rủi ro khí hậu cho các đô thị tại Việt Nam</t>
  </si>
  <si>
    <t>Thí điểm thực hiện đánh giá rủi ro khí hậu, hình thành bản đồ đánh giá rủi ro khí hậu cho Thành phố Cần Thơ</t>
  </si>
  <si>
    <t>Xây dựng Báo cáo tổng hợp về kết quả triển khai thực hiện nhiệm vụ “Xây dựng tài liệu hướng dẫn đánh giá rủi ro trên nền dữ liệu atlats đô thị và khí hậu, thí điểm áp dựng cho thành phố Cần Thơ”</t>
  </si>
  <si>
    <t>Dự thảo tài liệu hướng dẫn đánh giá rủi ro khí hậu, hình thành bản đồ cảnh báo rủi ro khí hậu cho các đô thị tại Việt Nam</t>
  </si>
  <si>
    <t>Báo cáo tổng hợp về kết quả triển khai thực hiện nhiệm vụ “Xây dựng tài liệu hướng dẫn đánh giá rủi ro trên nền dữ liệu atlats đô thị và khí hậu, thí điểm áp dựng cho thành phố Cần Thơ”;</t>
  </si>
  <si>
    <r>
      <rPr>
        <b/>
        <sz val="12"/>
        <rFont val="Times New Roman"/>
        <family val="1"/>
      </rPr>
      <t>PHỤ LỤC 1: Giải trình chi tiết Khoản thuê khoán nhân công</t>
    </r>
    <r>
      <rPr>
        <sz val="12"/>
        <rFont val="Times New Roman"/>
        <family val="1"/>
      </rPr>
      <t xml:space="preserve"> </t>
    </r>
  </si>
  <si>
    <t>Số TTA3:H12A3:I9</t>
  </si>
  <si>
    <t xml:space="preserve">Đơn giá </t>
  </si>
  <si>
    <t>Xây dựng đề cương chi tiết về nhiệm vụ "Xây dựng tài liệu hướng dẫn đánh giá rủi ro trên nền dữ liệu atlats đô thị và khí hậu, thí điểm áp dựng cho thành phố Cần Thơ"</t>
  </si>
  <si>
    <t>Đề cương</t>
  </si>
  <si>
    <t>Thu thập dữ liệu, tài liệu, nghiên cứu đã thực hiện về việc đánh giá rủi ro khí hậu tại các đô thị trên thế giới và tại Việt Nam (tài liệu trong và ngoài nước); Kế thừa kinh nghiệm thực hiện của các nhiệm vụ đã thực hiện trước đây để nghiên cứu áp dụng cho nhiệm vụ này</t>
  </si>
  <si>
    <t>Báo cáo Thu thập dữ liệu, tài liệu, nghiên cứu đã thực hiện về việc đánh giá rủi ro khí hậu tại các đô thị trên thế giới và tại Việt Nam</t>
  </si>
  <si>
    <t>Công nhóm 3</t>
  </si>
  <si>
    <t xml:space="preserve">
Tổng hợp, đánh giá các kinh nghiệm về việc đánh giá rủi ro khí hậu tại các đô thị khác nhau và nhiều cấp độ trong nước và trên thế giới
</t>
  </si>
  <si>
    <t>Báo cáo tổng hợp, đánh giá các kinh nghiệm về việc đánh giá rủi ro khí hậu tại các đô thị khác nhau và nhiều cấp độ trong nước và trên thế giới</t>
  </si>
  <si>
    <t>Công nhóm 2</t>
  </si>
  <si>
    <t>Công nhóm 1</t>
  </si>
  <si>
    <t>Tài liệu hướng dẫn đánh giá tác động của rủi ro khí hậu đến các lĩnh vực phát triển đô thị  cho các đô thị tại Việt Nam 
Bộ chỉ số đánh giá rủi ro khí hậu cho các lĩnh vực phát triển đô thị theo Khung hướng dẫn lập Atlas đô thị - khí hậu cho các đô thị Việt Nam</t>
  </si>
  <si>
    <t>Nghiên cứu, phân tích, dự báo xu thế diễn biến tác động và rủi ro khí hậu đến đô thị</t>
  </si>
  <si>
    <t>Báo cáo Nghiên cứu, phân tích, dự báo xu thế diễn biến tác động và rủi ro khí hậu đến TP. Cần Thơ</t>
  </si>
  <si>
    <t xml:space="preserve"> Tính toán các chỉ số đánh giá hiểm họa, mức độ phơi bày và tính dễ bị tổn thương đến hai lĩnh vực phát triển đô thị là: sử dụng đất và giao thông đô thị trên địa bàn TP. Cần Thơ</t>
  </si>
  <si>
    <t>Báo cáo kết quả đánh giá rủi ro khí hậu cho lĩnh vực sử dụng đất và giao thông đô thị trên địa bàn TP. Cần Thơ</t>
  </si>
  <si>
    <t>Xây dựng bản đồ đánh giá rủi ro khí hậu đến sử dụng đất và giao thông đô thị của TP. Cần Thơ</t>
  </si>
  <si>
    <t>02 bản đồ chuyên đề đánh giá rủi ro khí hậu cho lĩnh vực sử dụng đất và giao thông đô thị trên địa bàn TP. Cần Thơ</t>
  </si>
  <si>
    <t>Bản đồ</t>
  </si>
  <si>
    <t>Báo cáo</t>
  </si>
  <si>
    <t>Tổng kinh phí</t>
  </si>
  <si>
    <t>IV</t>
  </si>
  <si>
    <t>Chi khác</t>
  </si>
  <si>
    <t>Định mức</t>
  </si>
  <si>
    <t>IV.2</t>
  </si>
  <si>
    <t>Cái</t>
  </si>
  <si>
    <t xml:space="preserve">Họp tham vấn </t>
  </si>
  <si>
    <t>Máy quay phim, webcam truyền hình lên phần mềm Meeting online</t>
  </si>
  <si>
    <t>Bộ mixer, sound card trộn tiếng online</t>
  </si>
  <si>
    <t>Hệ thống âm thanh</t>
  </si>
  <si>
    <t>Máy chiếu 4,500 lumen</t>
  </si>
  <si>
    <t>Màn chiếu 120 inch</t>
  </si>
  <si>
    <t>Chủ trì (01 người x 02 buổi)</t>
  </si>
  <si>
    <t>Thư ký   (01 người x 02 buổi)</t>
  </si>
  <si>
    <t>Báo cáo viên (03 bài x 2 buổi)</t>
  </si>
  <si>
    <t>IV.3</t>
  </si>
  <si>
    <t xml:space="preserve"> Nhiệm vụ: Xây dựng tài liệu hướng dẫn đánh giá tác động của rủi ro trên nền dữ liệu atlats đô thị và khí hậu, thí điểm áp dựng cho thành phố Cần Thơ</t>
  </si>
  <si>
    <t>(Kèm theo Văn bản số 83 /CV-PTĐT ngày 15/3/2021 của Cục Phát triển đô thị)</t>
  </si>
  <si>
    <t>Các nội dung, công việc chủ yếu cần được thực hiện (các mốc đánh giá chủ yếu)</t>
  </si>
  <si>
    <t>Sản phẩm phải đạt</t>
  </si>
  <si>
    <r>
      <t xml:space="preserve">Thời gian </t>
    </r>
    <r>
      <rPr>
        <sz val="13"/>
        <color rgb="FF000000"/>
        <rFont val="Times New Roman"/>
        <family val="1"/>
      </rPr>
      <t>(bắt đầu, kết thúc</t>
    </r>
  </si>
  <si>
    <t>Người, cơ quan thực hiện</t>
  </si>
  <si>
    <t>Lập đề cương và thông qua đề cương, ký hợp đồng</t>
  </si>
  <si>
    <t>Nội dung điều tra khảo sát</t>
  </si>
  <si>
    <t>II.1</t>
  </si>
  <si>
    <t>Số liệu, tài liệu điều tra</t>
  </si>
  <si>
    <t>Nhóm thực hiện</t>
  </si>
  <si>
    <t>II.2</t>
  </si>
  <si>
    <t>9/2021-10/2021</t>
  </si>
  <si>
    <t>Nội dung nghiên cứu</t>
  </si>
  <si>
    <t>III.1</t>
  </si>
  <si>
    <t>III.1.1</t>
  </si>
  <si>
    <t>8/2021 -9/2021</t>
  </si>
  <si>
    <t>III.1.2</t>
  </si>
  <si>
    <t>III.1.3</t>
  </si>
  <si>
    <t>9/2021 -10/2021</t>
  </si>
  <si>
    <t>III.1.4</t>
  </si>
  <si>
    <t>10/2021 -11/2021</t>
  </si>
  <si>
    <t>III.1.5</t>
  </si>
  <si>
    <t>11/2021 - 12/2021</t>
  </si>
  <si>
    <t>III.1.6</t>
  </si>
  <si>
    <t>III.2</t>
  </si>
  <si>
    <t>III.2.1</t>
  </si>
  <si>
    <t>9/2021 - 10/2021</t>
  </si>
  <si>
    <t>III.2.2</t>
  </si>
  <si>
    <t>III.2.3</t>
  </si>
  <si>
    <t>III.3</t>
  </si>
  <si>
    <t>Nghiệm thu nhiệm vụ</t>
  </si>
  <si>
    <t>IV.1</t>
  </si>
  <si>
    <t>Nghiệm thu đề tài cấp cơ sở</t>
  </si>
  <si>
    <t>Tài liệu dự án</t>
  </si>
  <si>
    <t>Cục PTĐT</t>
  </si>
  <si>
    <t>Nghiệm thu đề tài cấp Bộ</t>
  </si>
  <si>
    <t>Bộ Xây dựng</t>
  </si>
  <si>
    <t>Giao nộp sản phẩm</t>
  </si>
  <si>
    <t>Báo cáo tổng hợp, Đĩa CD</t>
  </si>
  <si>
    <t>Đề xuất cách thức quản lý và sử dụng thông tin đánh giá rủi ro khí hậu, bản đồ đánh giá rủi ro khí hậu cho các thành phố trực thuộc Trung ương tại Việt Nam</t>
  </si>
  <si>
    <t>Nghiên cứu cơ sở khoa học, đề xuất phương pháp đánh giá rủi ro khí hậu, bộ chỉ số đánh giá rủi ro khí hậu đến các lĩnh vực phát triển đô thị cho các thành phố trực thuộc Trung Ương</t>
  </si>
  <si>
    <t xml:space="preserve"> Nghiên cứu, phân tích, dự báo xu thế diễn biến tác động chính và rủi ro khí hậu đến hai lĩnh vực sử dụng đất và giao thông đô thị trên địa bàn thành phố Cần Thơ</t>
  </si>
  <si>
    <t xml:space="preserve">Biên soạn tài liệu hướng dẫn đánh giá tác động của rủi ro khí hậu đến các lĩnh vực phát triển đô thị cho các thành phố trực thuộc Trung Ương </t>
  </si>
  <si>
    <t>III.1.7</t>
  </si>
  <si>
    <t>Tham vấn ý kiến chuyên gia về tài liệu hướng dẫn đánh giá rủi ro khí hậu đến các lĩnh vực phát triển đô thị cho các thành phố trực thuộc Trung ương tại Việt Nam</t>
  </si>
  <si>
    <t>Họp Tham vấn ý kiến</t>
  </si>
  <si>
    <t>Tính toán các chỉ số đánh giá hiểm họa, mức độ phơi bày và tính dễ bị tổn thương đến hai lĩnh vực phát triển đô thị là: sử dụng đất và giao thông đô thị trên địa bàn TP. Cần Thơ</t>
  </si>
  <si>
    <t>Báo cáo/ Bản đồ</t>
  </si>
  <si>
    <t>Xây dựng các sản phẩm chính của Nhiệm vụ</t>
  </si>
  <si>
    <t>BCTH/Dự thảo tài liệu/Báo cáo thí điểm</t>
  </si>
  <si>
    <t>10/2021 - 2/2022</t>
  </si>
  <si>
    <t>Nhóm thực hiện và Chuyên gia</t>
  </si>
  <si>
    <t>10/2021 - 3/2022</t>
  </si>
  <si>
    <t>12/2021 - 5 /2022</t>
  </si>
  <si>
    <t>3/2022 -4/2022</t>
  </si>
  <si>
    <t>4/2022 - 5/2022</t>
  </si>
  <si>
    <t>5/2022 - 6/2022</t>
  </si>
  <si>
    <r>
      <t xml:space="preserve">Họp tham vấn, góp ý tại Hà Nội (03 cuộc)
</t>
    </r>
    <r>
      <rPr>
        <b/>
        <i/>
        <sz val="12"/>
        <rFont val="Times New Roman"/>
        <family val="1"/>
      </rPr>
      <t>Nội dung:</t>
    </r>
    <r>
      <rPr>
        <i/>
        <sz val="12"/>
        <rFont val="Times New Roman"/>
        <family val="1"/>
      </rPr>
      <t xml:space="preserve"> Tham vấn ý kiến về các nội dung đánh giá tác động của rủi ro thiên tai và các hiện tượng cực đoan cho các đô thị tại Việt Nam </t>
    </r>
  </si>
  <si>
    <r>
      <t xml:space="preserve">Họp ở Cần Thơ (01 ngày) x 02 cuộc
</t>
    </r>
    <r>
      <rPr>
        <b/>
        <sz val="12"/>
        <color rgb="FF003399"/>
        <rFont val="Times New Roman"/>
        <family val="1"/>
      </rPr>
      <t>Nội dung:</t>
    </r>
    <r>
      <rPr>
        <sz val="12"/>
        <color rgb="FF003399"/>
        <rFont val="Times New Roman"/>
        <family val="1"/>
      </rPr>
      <t xml:space="preserve">  Tham vấn ý kiến chuyên gia và hoàn thiện đánh giá rủi ro khí hậu, hình thành bản đồ đánh giá rủi ro khí hậu cho lĩnh vực sử dụng đất và giao thông đô thị cho thành phố Cần Thơ</t>
    </r>
  </si>
  <si>
    <t>Chi phí cho 01 cuộc họp hình thức trực tiếp và trực tuyến 30 đại biểu/ 1 buổi trực tuyến)</t>
  </si>
  <si>
    <t>Chi phí  Hội thảo hình thức trực tiếp và trực tuyến 20 đại biểu/ 1 buổi trực tuyến của thành phố Cần Thơ)</t>
  </si>
  <si>
    <t>Các hội thảo giới thiệu kết quả thử nghiệm tại thành phố Cần Thơ và tham vấn hoàn thiện tài liệu hướng dẫn đánh giá tác động của rủi ro khí hậu tới đô thị</t>
  </si>
  <si>
    <t>3/2021 - 8/2021</t>
  </si>
  <si>
    <r>
      <t xml:space="preserve">Thời gian </t>
    </r>
    <r>
      <rPr>
        <sz val="12"/>
        <color theme="1"/>
        <rFont val="Times New Roman"/>
        <family val="1"/>
      </rPr>
      <t>(bắt đầu, kết thúc</t>
    </r>
  </si>
  <si>
    <t>Khảo sát, phân loại các tác động và phương thức đánh giá rủi ro khí hậu đã và đang được thực hiện trong nước (Mục 7.1.2)</t>
  </si>
  <si>
    <t>8/2021 - 9/2021</t>
  </si>
  <si>
    <t xml:space="preserve"> Điều tra, khảo sát, thu thập thông tin và số liệu cơ bản của TP. Cần Thơ (5 ngày x 3 người)(Mục 7.2.1)</t>
  </si>
  <si>
    <t>Tổng hợp dữ liệu, tài liệu, nghiên cứu đã thực hiện về việc đánh giá rủi ro khí hậu tại các đô thị trên thế giới và tại Việt Nam (mục 7.1.1)</t>
  </si>
  <si>
    <t>Báo cáo khảo sát, phân loại các tác động và phương thức đánh giá rủi ro khí hậu đã và đang được thực hiện trong nước (Mục 7.1.2)</t>
  </si>
  <si>
    <t>Tổng hợp, đánh giá các kinh nghiệm về việc đánh giá rủi ro khí hậu tại năm thành phố trực thuộc Trung Ương (Mục 7.1.3)</t>
  </si>
  <si>
    <t>Nghiên cứu cơ sở khoa học, đề xuất phương pháp đánh giá rủi ro khí hậu, bộ chỉ số đánh giá rủi ro khí hậu đến các lĩnh vực phát triển đô thị cho các thành phố trực thuộc Trung Ương (Mục 7.1.4)</t>
  </si>
  <si>
    <t>10/2021 - 11/2021</t>
  </si>
  <si>
    <t>Biên soạn tài liệu hướng dẫn đánh giá tác động của rủi ro khí hậu đến các lĩnh vực phát triển đô thị cho các thành phố trực thuộc Trung Ương (Mục 7.1.5)</t>
  </si>
  <si>
    <t>Đề xuất cách thức quản lý và sử dụng thông tin đánh giá rủi ro khí hậu, bản đồ đánh giá rủi ro khí hậu cho các thành phố trực thuộc Trung ương tại Việt Nam (Mục 7.1.6)</t>
  </si>
  <si>
    <t>Tham vấn ý kiến chuyên gia về tài liệu hướng dẫn đánh giá rủi ro khí hậu đến các lĩnh vực phát triển đô thị cho các thành phố trực thuộc Trung ương tại Việt Nam (Mục 7.1.7)</t>
  </si>
  <si>
    <t>Thí điểm thực hiện đánh giá rủi ro khí hậu, hình thành bản đồ đánh giá rủi ro khí hậu cho Thành phố Cần Thơ (Mục 7.2)</t>
  </si>
  <si>
    <t xml:space="preserve"> Nghiên cứu, phân tích, dự báo xu thế diễn biến tác động chính và rủi ro khí hậu đến hai lĩnh vực sử dụng đất và giao thông đô thị trên địa bàn thành phố Cần Thơ (Mục 7.2.2)</t>
  </si>
  <si>
    <t>7.2.3. Tính toán các chỉ số đánh giá hiểm họa, mức độ phơi bày, tính dễ bị tổn thương và rủi ro do BĐKH đến hai lĩnh vực sử dụng đất và giao thông đô thị của TP. Cần Thơ (Mục 7.2.3)</t>
  </si>
  <si>
    <t>Các hội thảo giới thiệu kết quả thử nghiệm tại thành phố Cần Thơ và tham vấn hoàn thiện tài liệu hướng dẫn đánh giá tác động của rủi ro khí hậu tới đô thị (Mục 7.2.4)</t>
  </si>
  <si>
    <t>10/2021 - 10/2022</t>
  </si>
  <si>
    <t>11/2021 - 5 /2022</t>
  </si>
  <si>
    <t>6/2022 - 8/2022</t>
  </si>
  <si>
    <t>8/2022 - 10/2022</t>
  </si>
  <si>
    <t>10/2022 - 12/2022</t>
  </si>
  <si>
    <t>Nghiên cứu cơ sở khoa học và thực tiễn đề xuất cơ chế chính sách thúc đẩy doanh nghiệp thích ứng với biến đổi khí hậu, phục vụ mục tiêu dán nhãn sản phẩm thân thiện khí hậu.</t>
  </si>
  <si>
    <t>Thực hiện điều tra khảo sát, thu thập thông tin tài liệu, số liệu phục vụ nghiên cứu đề tài “Nghiên cứu cơ sở khoa học và thực tiễn xây dựng cơ chế chính sách thúc đẩy doanh nghiệp thích ứng phó biến đổi khí hậu”</t>
  </si>
  <si>
    <t>Tổ chức</t>
  </si>
  <si>
    <t>Chi cho đối tượng cung cấp thông tin</t>
  </si>
  <si>
    <t>a</t>
  </si>
  <si>
    <t>b</t>
  </si>
  <si>
    <t>c</t>
  </si>
  <si>
    <t>d</t>
  </si>
  <si>
    <t>3.1</t>
  </si>
  <si>
    <t>3.2</t>
  </si>
  <si>
    <t>1.2.1</t>
  </si>
  <si>
    <t>1.2.2</t>
  </si>
  <si>
    <t>1.2.3</t>
  </si>
  <si>
    <t>1.2.4</t>
  </si>
  <si>
    <t>1.2.5</t>
  </si>
  <si>
    <t>4.1</t>
  </si>
  <si>
    <t>4.1.2</t>
  </si>
  <si>
    <t>4.1.1</t>
  </si>
  <si>
    <t>4.2</t>
  </si>
  <si>
    <t>5.1</t>
  </si>
  <si>
    <t>5.2</t>
  </si>
  <si>
    <t>Tổ chức tham quan, học tập tập kinh nghiệm mô hình doanh nghiệp ứng phó biến đổi khí hậu tại Nhật Bản</t>
  </si>
  <si>
    <t>e</t>
  </si>
  <si>
    <t>Xây dựng thuyết minh Đề tài Khoa học và Công nghệ: “Nghiên cứu cơ sở khoa học và thực tiễn xây dựng cơ chế chính sách thúc đẩy doanh nghiệp ứng phó với biến đổi khí hậu"</t>
  </si>
  <si>
    <t>Tồng cộng (I+II)</t>
  </si>
  <si>
    <t>V. KINH PHÍ THỰC HIỆN ĐỀ TÀI VÀ NGUỒN KINH PHÍ</t>
  </si>
  <si>
    <t>(Giải trình chi tiết xem phụ lục kèm theo)</t>
  </si>
  <si>
    <t>Nguồn kinh phí</t>
  </si>
  <si>
    <t>Tổng số</t>
  </si>
  <si>
    <t>Trong đó</t>
  </si>
  <si>
    <t>Trả công lao động trực tiếp</t>
  </si>
  <si>
    <t>Nguyên, vật liệu, năng lượng</t>
  </si>
  <si>
    <t>Thiết bị, máy móc</t>
  </si>
  <si>
    <t>Xây dựng, sửa chữa nhỏ</t>
  </si>
  <si>
    <t>Ngân sách nhà nước</t>
  </si>
  <si>
    <t>Kinh phí khoán chi</t>
  </si>
  <si>
    <t>Kinh phí không khoán chi</t>
  </si>
  <si>
    <t>Nguồn ngoài ngân sách nhà nước</t>
  </si>
  <si>
    <t>CHỦ NHIỆM ĐỀ TÀI</t>
  </si>
  <si>
    <t>TỔ CHỨC CHỦ TRÌ ĐỀ TÀI</t>
  </si>
  <si>
    <t>(Họ tên và chữ ký)</t>
  </si>
  <si>
    <t>(Họ tên, chữ ký và đóng dấu)</t>
  </si>
  <si>
    <r>
      <t xml:space="preserve">DỰ TOÁN KINH PHÍ </t>
    </r>
    <r>
      <rPr>
        <b/>
        <sz val="13"/>
        <rFont val="Times New Roman"/>
        <family val="1"/>
      </rPr>
      <t>ĐỀ TÀI</t>
    </r>
  </si>
  <si>
    <t>Số
TT</t>
  </si>
  <si>
    <t>Nội dung các khoản chi</t>
  </si>
  <si>
    <t>Tổng 
kinh phí</t>
  </si>
  <si>
    <t>Nguồn vốn</t>
  </si>
  <si>
    <t>Ngoài ngân sách nhà nước</t>
  </si>
  <si>
    <t>Trong đó, khoán chi theo quy định</t>
  </si>
  <si>
    <t>Năm thứ nhất</t>
  </si>
  <si>
    <t>Năm thứ hai</t>
  </si>
  <si>
    <t xml:space="preserve">Trong đó, khoán chi theo quy   định </t>
  </si>
  <si>
    <t>Năm thứ ba</t>
  </si>
  <si>
    <t>4=(6+8+10)</t>
  </si>
  <si>
    <t>5=(7+9+11)</t>
  </si>
  <si>
    <t xml:space="preserve">Trả công lao động </t>
  </si>
  <si>
    <t xml:space="preserve"> Thuê chuyên gia </t>
  </si>
  <si>
    <t>- Trong nước</t>
  </si>
  <si>
    <t>- Nước ngoài</t>
  </si>
  <si>
    <t>Nguyên,vật liệu, năng lượng</t>
  </si>
  <si>
    <t>1.1.1</t>
  </si>
  <si>
    <t>1.1.2</t>
  </si>
  <si>
    <t xml:space="preserve">Buổi </t>
  </si>
  <si>
    <t>Báo cáo tham luận trình bày tại Hội thảo</t>
  </si>
  <si>
    <t>Đại biểu được mời tham dự (30 người)</t>
  </si>
  <si>
    <t>Tài liệu, VPP cho đại biểu tham dự</t>
  </si>
  <si>
    <t>PHỤ LỤC 4: HỘI THẢO</t>
  </si>
  <si>
    <t>Hội thảo</t>
  </si>
  <si>
    <t>1.1.4</t>
  </si>
  <si>
    <t>1.1.5</t>
  </si>
  <si>
    <r>
      <t xml:space="preserve">Hội thảo 2:  Hội thảo lấy ý kiến các bộ/ngành </t>
    </r>
    <r>
      <rPr>
        <b/>
        <i/>
        <sz val="10"/>
        <color rgb="FFC00000"/>
        <rFont val="Times New Roman"/>
        <family val="1"/>
        <charset val="163"/>
      </rPr>
      <t>về Khung dự thảo Đề án thúc đẩy doanh nghiệp ứng phó biến đổi khí hậu</t>
    </r>
  </si>
  <si>
    <r>
      <t>Hội thảo 1: Hội thảo Tham vấn, lấy ý kiến các bộ ngành</t>
    </r>
    <r>
      <rPr>
        <b/>
        <i/>
        <sz val="10"/>
        <color rgb="FFC00000"/>
        <rFont val="Times New Roman"/>
        <family val="1"/>
        <charset val="163"/>
      </rPr>
      <t xml:space="preserve"> về Khung dự thảo Đề án thúc đẩy doanh nghiệp ứng phó biến đổi khí hậu</t>
    </r>
  </si>
  <si>
    <t>1.1.6</t>
  </si>
  <si>
    <t>Đại biểu được mời tham dự (45 người )</t>
  </si>
  <si>
    <t>1.3.1</t>
  </si>
  <si>
    <t>1.3.2</t>
  </si>
  <si>
    <t>1.3.3</t>
  </si>
  <si>
    <t>Ngân sách nhà nước:</t>
  </si>
  <si>
    <t xml:space="preserve">a. Kinh phí khoán chi: </t>
  </si>
  <si>
    <t>- Năm thứ nhất:</t>
  </si>
  <si>
    <t>- Năm thứ hai:</t>
  </si>
  <si>
    <t xml:space="preserve">- Năm thứ ba: </t>
  </si>
  <si>
    <t xml:space="preserve">b. Kinh phí không khoán chi: </t>
  </si>
  <si>
    <t>- Năm thứ ba:</t>
  </si>
  <si>
    <r>
      <t xml:space="preserve">    </t>
    </r>
    <r>
      <rPr>
        <b/>
        <sz val="13"/>
        <color theme="1"/>
        <rFont val="Times New Roman"/>
        <family val="1"/>
        <charset val="163"/>
      </rPr>
      <t xml:space="preserve">Khoản 1a. Công lao động trực tiếp </t>
    </r>
  </si>
  <si>
    <t xml:space="preserve">TỔNG HỢP DỰ TOÁN CÔNG LAO ĐỘNG TRỰC TIẾP </t>
  </si>
  <si>
    <t>Tổng số người</t>
  </si>
  <si>
    <t>Tổng số ngày công quy đổi</t>
  </si>
  <si>
    <t>Kỹ thuật viên, nhân viên hỗ trợ</t>
  </si>
  <si>
    <t>Chi xây dựng phương án Điều tra thống kê và lập mẫu phiếu Điều tra thống kê theo mức khoán (Mức khoán: đã bao gồm chi hội nghị, họp hội đồng thẩm định, nghiệm thu, chi thuê chuyên gia chọn mẫu Điều tra thống kê và các Khoản chi khác liên quan trực tiếp đến phương án Điều tra thống kê, lập mẫu phiếu Điều tra thống kê và tổng hợp, phân tích, đánh giá kết quả Điều tra thống kê)</t>
  </si>
  <si>
    <t>Cộng</t>
  </si>
  <si>
    <t>(Bằng chữ: Một tỷ tám trăm triệu đồng)./.</t>
  </si>
  <si>
    <t>Đại biểu được mời tham dự (50 người)</t>
  </si>
  <si>
    <r>
      <t xml:space="preserve">Trả công lao động trực tiếp+ chuyên gia </t>
    </r>
    <r>
      <rPr>
        <sz val="12"/>
        <color theme="1"/>
        <rFont val="Times New Roman"/>
        <family val="1"/>
        <charset val="163"/>
      </rPr>
      <t>(nếu có)</t>
    </r>
  </si>
  <si>
    <t>3.1.1</t>
  </si>
  <si>
    <t>3.1.2</t>
  </si>
  <si>
    <t>3.1.3</t>
  </si>
  <si>
    <t>3.2.1</t>
  </si>
  <si>
    <t>3.2.2</t>
  </si>
  <si>
    <t>1.3.4</t>
  </si>
  <si>
    <t>1.3.5</t>
  </si>
  <si>
    <t>1.3.6</t>
  </si>
  <si>
    <t>1.3.7</t>
  </si>
  <si>
    <t>PHỤ LỤC 2: ĐIỀU TRA, KHẢO SÁT</t>
  </si>
  <si>
    <t>PHỤ LỤC 2: NGHIỆM THU CÁC CẤP</t>
  </si>
  <si>
    <r>
      <t xml:space="preserve">Lương cơ sở </t>
    </r>
    <r>
      <rPr>
        <b/>
        <i/>
        <sz val="12"/>
        <rFont val="Times New Roman"/>
        <family val="1"/>
      </rPr>
      <t>(Lcs)</t>
    </r>
  </si>
  <si>
    <r>
      <t xml:space="preserve">Tổng số ngày công </t>
    </r>
    <r>
      <rPr>
        <b/>
        <i/>
        <sz val="12"/>
        <rFont val="Times New Roman"/>
        <family val="1"/>
      </rPr>
      <t xml:space="preserve">(Snc) </t>
    </r>
    <r>
      <rPr>
        <b/>
        <sz val="12"/>
        <rFont val="Times New Roman"/>
        <family val="1"/>
      </rPr>
      <t xml:space="preserve"> </t>
    </r>
  </si>
  <si>
    <t>3.3</t>
  </si>
  <si>
    <t>3.3.1</t>
  </si>
  <si>
    <t>3.3.2</t>
  </si>
  <si>
    <t>3.3.3</t>
  </si>
  <si>
    <t>Thư ký khoa học</t>
  </si>
  <si>
    <t>Thành viên thực hiện chính</t>
  </si>
  <si>
    <t xml:space="preserve">Đề tài: Nghiên cứu cơ sở khoa học và thực tiễn đề xuất cơ chế chính sách thúc đẩy doanh nghiệp tham gia ứng phó với biến đổi khí hậu </t>
  </si>
  <si>
    <t xml:space="preserve">Nghiên cứu cơ sở khoa học và thực tiễn đề xuất cơ chế chính sách thúc đẩy doanh nghiệp tham gia ứng phó với biến đổi khí hậu </t>
  </si>
  <si>
    <t>Kinh phí</t>
  </si>
  <si>
    <r>
      <rPr>
        <b/>
        <i/>
        <sz val="11"/>
        <color theme="1"/>
        <rFont val="Times New Roman"/>
        <family val="1"/>
      </rPr>
      <t>Kinh phí quản lý</t>
    </r>
    <r>
      <rPr>
        <i/>
        <sz val="11"/>
        <color theme="1"/>
        <rFont val="Times New Roman"/>
        <family val="1"/>
      </rPr>
      <t xml:space="preserve"> (bằng 5% tổng kinh phí thực hiện đề tài, tối đa không quá 100 triệu đồng)</t>
    </r>
  </si>
  <si>
    <r>
      <rPr>
        <b/>
        <sz val="11"/>
        <color theme="1"/>
        <rFont val="Times New Roman"/>
        <family val="1"/>
      </rPr>
      <t>Công tác trong nước</t>
    </r>
    <r>
      <rPr>
        <sz val="11"/>
        <color theme="1"/>
        <rFont val="Times New Roman"/>
        <family val="1"/>
      </rPr>
      <t xml:space="preserve"> (địa điểm, thời gian, số lượt người)</t>
    </r>
  </si>
  <si>
    <r>
      <t xml:space="preserve">Chi điều tra, khảo sát thu thập số liệu </t>
    </r>
    <r>
      <rPr>
        <i/>
        <sz val="11"/>
        <color theme="1"/>
        <rFont val="Times New Roman"/>
        <family val="1"/>
      </rPr>
      <t>(số phiếu, số chỉ tiêu...)</t>
    </r>
  </si>
  <si>
    <t>Đoàn ra (nước đến, số người, số ngày, số lần,...)</t>
  </si>
  <si>
    <t>Đoàn vào (số người, số ngày, số lần,...)</t>
  </si>
  <si>
    <t>Chi phí đánh giá, kiểm tra nội bộ</t>
  </si>
  <si>
    <t>Chi trả dịch vụ thuê ngoài phục vụ hoạt động nghiên cứu</t>
  </si>
  <si>
    <r>
      <t>Hội thảo (</t>
    </r>
    <r>
      <rPr>
        <i/>
        <sz val="11"/>
        <color theme="1"/>
        <rFont val="Times New Roman"/>
        <family val="1"/>
      </rPr>
      <t>định mức chi theo quy định tại Quyết định số 2466/QĐ-BTNMT ngày 23/9/2015</t>
    </r>
    <r>
      <rPr>
        <sz val="11"/>
        <color theme="1"/>
        <rFont val="Times New Roman"/>
        <family val="1"/>
      </rPr>
      <t>)</t>
    </r>
  </si>
  <si>
    <t>Chi đào tạo, tập huấn (số ngày, số người, địa điểm...)</t>
  </si>
  <si>
    <t>Ẩn loát tài liệu, văn phòng phẩm, thông tin liên lạc</t>
  </si>
  <si>
    <t>Đăng ký bảo hộ quyền sở hữu trí tuệ</t>
  </si>
  <si>
    <r>
      <t>Khác (</t>
    </r>
    <r>
      <rPr>
        <i/>
        <sz val="11"/>
        <color theme="1"/>
        <rFont val="Times New Roman"/>
        <family val="1"/>
      </rPr>
      <t>liệt kê và thuyết minh theo từng khoản chi</t>
    </r>
    <r>
      <rPr>
        <sz val="11"/>
        <color theme="1"/>
        <rFont val="Times New Roman"/>
        <family val="1"/>
      </rPr>
      <t>)</t>
    </r>
  </si>
  <si>
    <t>Chi phí Hội đồng đánh giá kết quả đề tài</t>
  </si>
  <si>
    <t>DỰ TOÁN CHI KHÁC (THEO MẪU TT 26/2018/TT-BTNMT)</t>
  </si>
  <si>
    <t>Chức danh nghiên cứu</t>
  </si>
  <si>
    <t>Tổng số người thực hiện (cho từng chức danh)</t>
  </si>
  <si>
    <r>
      <t>Hệ số tiền công theo ngày (Hstcn)</t>
    </r>
    <r>
      <rPr>
        <b/>
        <vertAlign val="superscript"/>
        <sz val="12"/>
        <color theme="1"/>
        <rFont val="Times New Roman"/>
        <family val="1"/>
      </rPr>
      <t>3</t>
    </r>
  </si>
  <si>
    <t>CNĐT</t>
  </si>
  <si>
    <t>TVC</t>
  </si>
  <si>
    <t>TV</t>
  </si>
  <si>
    <t>TK</t>
  </si>
  <si>
    <t>3.4</t>
  </si>
  <si>
    <t>3.4.1</t>
  </si>
  <si>
    <t>3.4.2</t>
  </si>
  <si>
    <t>Xây dựng đề cương, nhiệm vụ</t>
  </si>
  <si>
    <t>Khảo sát 01:Tiến hành thu thập thông tin, tài liệu số liệu, các văn bản, chính sách, cơ chế liên quan đến sự tham gia của doanh nghiệp ứng phó với biến đổi khí hậu ở Việt Nam tại các Bộ, ban, ngành, cơ quan Trung ương: Bộ Nông nghiệp phát triển nông thôn, Bộ Giao thông vận tải, Bộ Công thương, Bộ Xây dựng, Bộ Y tế, Các đơn vị trực thuộc Bộ Tài nguyên và Môi trường (Viện Chiến lược chính sách Tài nguyên và Môi trường Tổng cục quản lý đất đai, Tổng cục Môi trường, Cục quản lý tài nguyên nước....) 05 ngày x 04 người</t>
  </si>
  <si>
    <r>
      <t xml:space="preserve">Hợp tác quốc tế </t>
    </r>
    <r>
      <rPr>
        <i/>
        <sz val="11"/>
        <color theme="1"/>
        <rFont val="Times New Roman"/>
        <family val="1"/>
      </rPr>
      <t>(định mức chi theo quy định hiện hành)</t>
    </r>
  </si>
  <si>
    <t>6.1</t>
  </si>
  <si>
    <t>6.2</t>
  </si>
  <si>
    <t>3.2.3</t>
  </si>
  <si>
    <t>3.3.4</t>
  </si>
  <si>
    <t>3.3.5</t>
  </si>
  <si>
    <t>3.3.7</t>
  </si>
  <si>
    <t>7.1</t>
  </si>
  <si>
    <t>7.2</t>
  </si>
  <si>
    <t>7.3</t>
  </si>
  <si>
    <t>7.4</t>
  </si>
  <si>
    <t>7.5</t>
  </si>
  <si>
    <t>7.6</t>
  </si>
  <si>
    <t>7.1.1</t>
  </si>
  <si>
    <t>f</t>
  </si>
  <si>
    <t>7.1.2</t>
  </si>
  <si>
    <t>Năm 2022</t>
  </si>
  <si>
    <t>Năm 2023</t>
  </si>
  <si>
    <t>Phương tiện đi lại: thuê xe ô tô (tạm tính, thanh toán theo thực tế)</t>
  </si>
  <si>
    <t xml:space="preserve">Khảo sát 02: Khảo sát, thu thập thông tin tài liệu, số liệu tại  cho địa phương là các tỉnh/thành phố Tiến hành điều tra khảo sát tại 140 doanh nghiệp trên 07 vùng kinh tế của Việt Nam (mỗi vùng 20 phiếu)  </t>
  </si>
  <si>
    <t>Vùng Đông Nam Bộ (TP. Hồ Chí Minh, Đồng Nai)  (04 người x 13 ngày)</t>
  </si>
  <si>
    <t>7.1.3</t>
  </si>
  <si>
    <t>Chi thẩm định nội dung, tài chính nhiệm vụ</t>
  </si>
  <si>
    <t>Tổ trưởng tổ thẩm định</t>
  </si>
  <si>
    <t>Thành viên tổ thẩm định</t>
  </si>
  <si>
    <t>Thư ký hành chính</t>
  </si>
  <si>
    <t>Đại biểu được mời tham dự</t>
  </si>
  <si>
    <t>5.3</t>
  </si>
  <si>
    <t>3.1.4</t>
  </si>
  <si>
    <t>3.1.5</t>
  </si>
  <si>
    <t>3.1.6</t>
  </si>
  <si>
    <t>3.1.7</t>
  </si>
  <si>
    <t>3.2.4</t>
  </si>
  <si>
    <t>Phân tích, đánh giá hiện trạng ứng phó với biến đổi khí hậu tại các khu vực khảo sát</t>
  </si>
  <si>
    <t>4.1.3</t>
  </si>
  <si>
    <t>4.2.1</t>
  </si>
  <si>
    <t>4.2.2</t>
  </si>
  <si>
    <t>4.2.3</t>
  </si>
  <si>
    <t>Phân tích, nhận định cơ chế, chính sách ứng phó biến đổi khí hậu tại Việt Nam trong thời gian tới</t>
  </si>
  <si>
    <t xml:space="preserve">Nội dung 6: Đề xuất nội dung dự thảo Đề án cơ chế chính sách thúc đẩy doanh nghiệp tham gia ứng phó với biến đổi khí hậu </t>
  </si>
  <si>
    <t>6.3</t>
  </si>
  <si>
    <t>Thu thập tài liệu quốc tế tại các nước phát triển và đang phát triển</t>
  </si>
  <si>
    <t>Xây dựng báo cáo tổng kết và báo cáo tóm tắt</t>
  </si>
  <si>
    <t>Vé tàu Hà Nội - Thành Phố Hồ Chí Minh khứ hồi (hoặc vé máy bay giá rẻ)</t>
  </si>
  <si>
    <t>Dịch tài liệu (200 trang x 150.000)</t>
  </si>
  <si>
    <t>Tổng quan về ứng phó biến đổi khí hậu</t>
  </si>
  <si>
    <t>Tổng quan về cơ chế chính sách</t>
  </si>
  <si>
    <t>1.1.3</t>
  </si>
  <si>
    <t>6.4</t>
  </si>
  <si>
    <t xml:space="preserve">Chi phí đánh giá, kiểm tra nội bộ </t>
  </si>
  <si>
    <t>Chi họp tư vấn tuyển chọn, giao trực tiếp tổ chứ, cá nhân chủ trì nhiệm vụ KHCN</t>
  </si>
  <si>
    <t>Thành viên hội đồng</t>
  </si>
  <si>
    <t>Chủ tịch hội đồng</t>
  </si>
  <si>
    <t>Nhận xét đánh giá của ủy viên Hội đồng</t>
  </si>
  <si>
    <t>Nhận xét đánh giá của ủy viên phản biện trong Hội đồng</t>
  </si>
  <si>
    <t>Thư ký hội đồng</t>
  </si>
  <si>
    <t>Báo cáo viên trình bày tại Hội thảo</t>
  </si>
  <si>
    <t xml:space="preserve">Nước uống </t>
  </si>
  <si>
    <t>Ng/buổi</t>
  </si>
  <si>
    <t>Thuê hội trường</t>
  </si>
  <si>
    <t>Ng/buổi</t>
  </si>
  <si>
    <t>Hội trường</t>
  </si>
  <si>
    <t>Tổ chức hội thảo</t>
  </si>
  <si>
    <t>Vé tàu khứ hồi Hà Nội - Đà Nẵng (hoặc vé máy bay giá rẻ)</t>
  </si>
  <si>
    <t>Vé</t>
  </si>
  <si>
    <t>Ngày</t>
  </si>
  <si>
    <t>Vé tàu khứ hồi Hà Nội - Hồ Chí Minh (hoặc vé máy bay giá rẻ)</t>
  </si>
  <si>
    <t xml:space="preserve">Tổng </t>
  </si>
  <si>
    <t>Đi lại, lưu trú</t>
  </si>
  <si>
    <t>Phụ cấp lưu trú (05 cán bộ x 3 ngày)</t>
  </si>
  <si>
    <t>Phụ cấp công tác phí ( 11 ngày x 5 người)</t>
  </si>
  <si>
    <t>Phụ cấp lưu trú (05 người x 10 đêm)</t>
  </si>
  <si>
    <t>Phụ cấp công tác phí ( 11 ngày x 05 người)</t>
  </si>
  <si>
    <t>Phụ cấp lưu trú tại Hải Phòng (05 người x 5 đêm)</t>
  </si>
  <si>
    <t>Phụ cấp lưu trú tại Thái Bình (05 người x 5 đêm)</t>
  </si>
  <si>
    <t>Phụ cấp công tác phí (11 ngày  x 05 người)</t>
  </si>
  <si>
    <t>Vùng duyên hải Nam Trung Bộ (Đà Nẵng, Quãng Ngãi)  (05 người x 13 ngày)</t>
  </si>
  <si>
    <t>Phụ cấp lưu trú tại Đà Nẵng (05 người x 6 đêm)</t>
  </si>
  <si>
    <t>Phụ cấp lưu trú tại Khánh Hòa (05 người x 6 đêm)</t>
  </si>
  <si>
    <t>Phụ cấp công tác phí (13 ngày  x 05 người)</t>
  </si>
  <si>
    <t>Phụ cấp lưu trú tại Đắc Lắc (05 người x 6 đêm)</t>
  </si>
  <si>
    <t>Phụ cấp lưu trú tại Gia Lai (05 người x 6 đêm)</t>
  </si>
  <si>
    <t>Phụ cấp lưu trú tại TP. Hồ Chí Minh (05 người x 6 đêm)</t>
  </si>
  <si>
    <t>Phụ cấp lưu trú tại Đồng Nai (05 người x 6 đêm)</t>
  </si>
  <si>
    <t>Phụ cấp lưu trú tại Cần Thơ (05 người x 6 đêm)</t>
  </si>
  <si>
    <t>Phụ cấp lưu trú tại Kiên Giang (05 người x 6 đêm)</t>
  </si>
  <si>
    <t>Phòng nghỉ (05 người x 2 đêm)</t>
  </si>
  <si>
    <t xml:space="preserve">Đại biểu được mời tham dự </t>
  </si>
  <si>
    <t>Phụ cấp lưu trú (05 người x 3 ngày)</t>
  </si>
  <si>
    <t>Vùng đồng bằng sông Cửu Long (Cần Thơ, Cà Mau)  (05 người x 13 ngày)</t>
  </si>
  <si>
    <t>Vùng Tây Nguyên (Đăc Lắk, Gia Lai) (05 người x 13 ngày)</t>
  </si>
  <si>
    <r>
      <t xml:space="preserve">Vùng Trung du và miền núi phía Bắc (Phú Thọ, </t>
    </r>
    <r>
      <rPr>
        <b/>
        <i/>
        <sz val="12"/>
        <color rgb="FFFF0000"/>
        <rFont val="Times New Roman"/>
        <family val="1"/>
      </rPr>
      <t>Sơn La</t>
    </r>
    <r>
      <rPr>
        <b/>
        <i/>
        <sz val="12"/>
        <color theme="1"/>
        <rFont val="Times New Roman"/>
        <family val="1"/>
      </rPr>
      <t>) (11 ngày x 5 người)</t>
    </r>
  </si>
  <si>
    <t>Bắc Trung Bộ (Nghệ An, Hà Tĩnh) (11 ngày x 5 người)</t>
  </si>
  <si>
    <t>Vé tàu Hà Nội - Thành Phố Hồ Chí Minh khứ hồi, vé ô tô HCM- Cần Thơ (hoặc vé máy bay giá rẻ Hà Nội - Cần Thơ)</t>
  </si>
  <si>
    <t>Vé tàu Hà Nội - Đà Nẵng khứ hồi (hoặc vé máy bay giá rẻ)</t>
  </si>
  <si>
    <t>Thuê xe ô tô 7 chỗ điều tra, khảo sát tại Đà Nẵng</t>
  </si>
  <si>
    <t>Vé tàu Hà Nội - Đà Nẵng  khứ hồi  (hoặc vé máy bay giá rẻ)</t>
  </si>
  <si>
    <t>Phương tiện khảo sát: thuê xe ô tô 7 chỗ tại Đà Nẵng</t>
  </si>
  <si>
    <t>Phương tiện đi lại: thuê xe ô tô 7 chỗ tại Hà Nội</t>
  </si>
  <si>
    <t>Thuê xe ô tô 7 chỗ đi điều tra, khảo sát tại Hồ Chí Minh</t>
  </si>
  <si>
    <t>Thuê xe ôtô 7 chỗ điều tra, khảo sát tại Cần thơ</t>
  </si>
  <si>
    <t>Đồng bằng Bắc Bộ hay đồng bằng sông Hồng (Hải Phòng, Thái Bình,) (11 ngày x 5 người)</t>
  </si>
  <si>
    <t xml:space="preserve">Nội dung 1: Nghiên cứu cơ sở lý luận và kinh nghiệm quốc tế về thúc đẩy doanh nghiệp tham gia hoạt động ứng phó biến đổi khí hậu </t>
  </si>
  <si>
    <t>-</t>
  </si>
  <si>
    <t>Tiềm năng của doanh nghiệp trong hoạt động ứng phó với biến đổi khí hậu</t>
  </si>
  <si>
    <t>Cơ sở cho việc thúc đẩy sự tham gia của doanh nghiệp trong hoạt động ứng phó với biến đổi khí hậu</t>
  </si>
  <si>
    <t>Cơ sở lý luận về vai trò của nhà nước trong việc thúc đẩy sự tham gia của doanh nghiệp vào hoạt động ứng phó với biến đổi khí hậu</t>
  </si>
  <si>
    <t>Kinh nghiệm quốc tế trong việc thúc đẩy doanh nghiệp tham gia ứng phó với biến đổi khí hậu</t>
  </si>
  <si>
    <t>2.1</t>
  </si>
  <si>
    <t>Các hiệp ước quốc tế về biến đổi khí hậu Việt Nam là thành viên</t>
  </si>
  <si>
    <t>Các cơ chế, chính sách hiện hành trong nước về ứng phó biến đổi khí hậu</t>
  </si>
  <si>
    <t>2.2</t>
  </si>
  <si>
    <t>Tổng quan các cơ chế, chính sách hiện hành thúc đẩy doanh nghiệp tham gia ứng phó biến đổi khí hậu tại Việt Nam</t>
  </si>
  <si>
    <t>2.3</t>
  </si>
  <si>
    <t>Phân tích, đánh giá ưu điểm và nhược điểm chính của hệ thống các cơ chế, chính sách hiện hành liên quan tới thúc đẩy doanh nghiệp tham gia ứng phó với biến đổi khí hậu</t>
  </si>
  <si>
    <t xml:space="preserve"> Điều tra khảo sát thu thập thông tin về thực trạng và khả năng tham gia ứng phó với biến đổi khí hậu tại các doanh nghiệp địa phương</t>
  </si>
  <si>
    <t xml:space="preserve">Báo cáo thu thập thông tin về thực trạng và khả năng tham gia ứng phó với biến đổi khí hậu tại các doanh nghiệp tại Trung du miền núi phía Bắc: Phú Thọ, Sơn La </t>
  </si>
  <si>
    <t>Báo cáo thu thập thông tin về thực trạng và khả năng tham gia ứng phó với biến đổi khí hậu tại các doanh nghiệp tại Đồng bằng Bắc Bộ: Hải Phòng, Thái Bình.</t>
  </si>
  <si>
    <t>Báo cáo thu thập thông tin về thực trạng và khả năng tham gia ứng phó với biến đổi khí hậu tại các doanh nghiệp tại Bắc Trung Bộ: Nghệ An, Hà Tĩnh</t>
  </si>
  <si>
    <t>Báo cáo thu thập thông tin về thực trạng và khả năng tham gia ứng phó với biến đổi khí hậu tại các doanh nghiệp tại Duyên hải Nam Trung Bộ: Đà Nẵng, Quãng Ngãi</t>
  </si>
  <si>
    <t>Báo cáo thu thập thông tin về thực trạng và khả năng tham gia ứng phó với biến đổi khí hậu tại các doanh nghiệp tại Tây Nguyên: Gia Lai, Đắk Lắk;</t>
  </si>
  <si>
    <t>Báo cáo thu thập thông tin về thực trạng và khả năng tham gia ứng phó với biến đổi khí hậu tại các doanh nghiệp tại Đông Nam Bộ: Hồ Chí Minh, Đồng Nai</t>
  </si>
  <si>
    <t>Báo cáo thu thập thông tin về thực trạng và khả năng tham gia ứng phó với biến đổi khí hậu tại các doanh nghiệp tại Đồng bằng sông Cửu Long: Cần Thơ, Cà Mau</t>
  </si>
  <si>
    <t>Phân tích, đánh giá tác động của biến đổi khí hậu đến doanh nghiệp tại các khu vực khảo sát</t>
  </si>
  <si>
    <t>Phân tích, đánh giá tác động chung của biến đổi khí hậu đến doanh nghiệp tại các khu vực khảo sát</t>
  </si>
  <si>
    <t>Phân tích, đánh giá tác động cụ thể đối với sản xuất kinh doanh của biến đổi khí hậu đến doanh nghiệp tại các khu vực khảo sát</t>
  </si>
  <si>
    <t>Phân tích, đánh giá giá trị tổn thất của biến đổi khí hậu đến doanh nghiệp tại các khu vực khảo sát</t>
  </si>
  <si>
    <t>Phân tích, đánh giá hiện trạng ứng phó với biến đổi khí hậu của doanh nghiệp tại các khu vực khảo sát</t>
  </si>
  <si>
    <t>Phân tích, đánh giá các biện pháp hiện hành của các cơ quan quản lý đối với doanh nghiệp trong việc tham gia ứng phó với BĐKH tại các khu vực khảo sát</t>
  </si>
  <si>
    <t>Phân tích, đánh giá các biện pháp ứng phó biến đổi khí hậu của doanh nghiệp tại các khu vực khảo sát</t>
  </si>
  <si>
    <t>Phân tích, đánh giá đóng góp của doanh nghiệp trong hoạt động ứng phó với biến đổi khí hậu tại các khu vực khảo sát (chính sách và tài chính).</t>
  </si>
  <si>
    <t>Phân tích, đánh giá khả năng tham gia ứng phó với biến đổi khí hậu của doanh nghiệp tại các khu vực khảo sát</t>
  </si>
  <si>
    <t>Phân tích, đánh giá nhận thức của doanh nghiệp đối với các tác động của biến đổi khí hậu tại các khu vực khảo sát</t>
  </si>
  <si>
    <t>Nội dung 4. Phân tích, đánh giá sự thiếu hụt và nhu cầu về cơ chế, chính sách trong việc thúc đẩy doanh nghiệp tham gia ứng phó với biến đổi khí hậu</t>
  </si>
  <si>
    <t>Phân tích, đánh giá sự thiếu hụt về cơ chế, chính sách trong việc thúc đẩy doanh nghiệp tham gia ứng phó với biến đổi khí hậu</t>
  </si>
  <si>
    <t>Phân tích, đánh giá sự thiếu hụt về cơ chế, chính sách tài chính trong việc thúc đẩy doanh nghiệp tham gia ứng phó với biến đổi khí hậu</t>
  </si>
  <si>
    <t>Phân tích, đánh giá sự thiếu hụt về cơ chế, chính sách khoa học công nghệ trong việc thúc đẩy doanh nghiệp tham gia ứng phó với biến đổi khí hậu</t>
  </si>
  <si>
    <t>Phân tích, đánh giá sự thiếu hụt về cơ chế, chính sách nâng cao nhận thức, giáo dục và đào tạo trong việc thúc đẩy doanh nghiệp tham gia ứng phó với biến đổi khí hậu</t>
  </si>
  <si>
    <t>4.1.4</t>
  </si>
  <si>
    <t>Phân tích, đánh giá sự thiếu hụt về cơ chế, chính sách khác trong việc thúc đẩy doanh nghiệp tham gia ứng phó với biến đổi khí hậu</t>
  </si>
  <si>
    <t>Phân tích, đánh giá nhu cầu về cơ chế, chính sách trong việc thúc đẩy doanh nghiệp ứng phó với biến đổi khí hậu</t>
  </si>
  <si>
    <t>Phân tích, đánh giá cơ hội và thách thức đối với doanh nghiệp khi tham gia ứng phó biến đổi khí hậu</t>
  </si>
  <si>
    <t>Phân tích, đánh giá các yếu tố ảnh hưởng tới quyết định tham gia ứng phó với biến đổi khí hậu của doanh nghiệp</t>
  </si>
  <si>
    <t>4.2.4</t>
  </si>
  <si>
    <t>Phân tích, đánh giá năng lực thực hiện của doanh nghiệp khi tham gia ứng phó với biến đổi khí hậu</t>
  </si>
  <si>
    <t>Phân tích, đánh giá năng lực về tài chính của doanh nghiệp khi tham gia ứng phó với biến đổi khí hậu</t>
  </si>
  <si>
    <t>Phân tích, đánh giá năng lực về khoa học công nghệ của doanh nghiệp khi tham gia ứng phó với biến đổi khí hậu</t>
  </si>
  <si>
    <t>Phân tích, đánh giá năng lực về nhận thức, giáo dục và đào tạo của doanh nghiệp khi tham gia ứng phó với biến đổi khí hậu</t>
  </si>
  <si>
    <t>Phân tích, đánh giá năng lực khác của doanh nghiệp khi tham gia ứng phó với biến đổi khí hậu</t>
  </si>
  <si>
    <t>Nội dung 5: Đề xuất cơ chế chính sách thúc đẩy doanh nghiệp tham gia ứng phó biến đổi khí hậu</t>
  </si>
  <si>
    <t>Đề xuất cơ chế, chính sách tài chính thúc đẩy doanh nghiệp tham gia ứng phó biến đổi khí hậu (tín dụng, bảo hiểm, quỹ, thuế, giá…)</t>
  </si>
  <si>
    <t>Đề xuất cơ chế, chính sách khoa học công nghệ thúc đẩy doanh nghiệp tham gia ứng phó biến đổi khí hậu</t>
  </si>
  <si>
    <t>Đề xuất cơ chế, chính sách nâng cao nhận thức, giáo dục và đào tạo thúc đẩy doanh nghiệp tham gia ứng phó biến đổi khí hậu</t>
  </si>
  <si>
    <t>5.4</t>
  </si>
  <si>
    <t>Đề xuất cơ chế, chính sách khác thúc đẩy doanh nghiệp tham gia ứng phó biến đổi khí hậu</t>
  </si>
  <si>
    <t>4.1.5</t>
  </si>
  <si>
    <t>Vùng Trung du và miền núi phía Bắc (Phú Thọ, Sơn La) (11 ngày x 5 người)</t>
  </si>
  <si>
    <t>3.3.6</t>
  </si>
  <si>
    <r>
      <t>Hội thảo 1</t>
    </r>
    <r>
      <rPr>
        <sz val="11"/>
        <rFont val="Times New Roman"/>
        <family val="1"/>
        <charset val="163"/>
      </rPr>
      <t>: Hội thảo tham vấn, lấy ý kiến cơ chế chính sách thúc đẩy doanh nghiệp tham gia ứng phó biến đổi khí hậu tại Hà Nội (1 ngày, ban tổ chức 5 người, 70 đại biểu)</t>
    </r>
  </si>
  <si>
    <r>
      <t>Hội thảo 2</t>
    </r>
    <r>
      <rPr>
        <sz val="11"/>
        <rFont val="Times New Roman"/>
        <family val="1"/>
        <charset val="163"/>
      </rPr>
      <t>: Hội thảo tham vấn, lấy ý kiến cơ chế chính sách thúc đẩy doanh nghiệp tham gia ứng phó biến đổi khí hậu tại Đà Nẵng (1 ngày, ban tổ chức 5 người, 70 đại biểu)</t>
    </r>
  </si>
  <si>
    <r>
      <t>Hội thảo 3</t>
    </r>
    <r>
      <rPr>
        <sz val="11"/>
        <rFont val="Times New Roman"/>
        <family val="1"/>
        <charset val="163"/>
      </rPr>
      <t>: Hội thảo tham vấn, lấy ý kiến cơ chế chính sách thúc đẩy doanh nghiệp tham gia ứng phó biến đổi khí hậu tại Hồ Chí Minh (1 ngày, ban tổ chức 5 người, 70 đại biểu)</t>
    </r>
  </si>
  <si>
    <t>Rà soát các cơ chế, chính sách hiện hành về ứng phó BĐKH tại Việt Nam</t>
  </si>
  <si>
    <t xml:space="preserve">Phụ luc 03_ Hội thảo tham vấn </t>
  </si>
  <si>
    <t>Tổng quan về doanh nghiệp</t>
  </si>
  <si>
    <t>Vai trò của doanh nghiệp trong hoạt động ứng phó biến đổi khí hậu</t>
  </si>
  <si>
    <t>Sự cần thiết của việc huy động nguồn lực từ doanh nghiệp</t>
  </si>
  <si>
    <t>Cơ sở lý luận về vai trò của doanh nghiệp trong hoạt động ứng phó với biến đổi khí hậu</t>
  </si>
  <si>
    <t>Ưu điểm và nhược điểm chính của các cơ chế, chính sách tài chính thúc đẩy doanh nghiệp tham gia ứng phó biến đổi khí hậu (Tín dụng, bảo hiểm, quỹ, thuế, giá…).</t>
  </si>
  <si>
    <t>Ưu điểm và nhược điểm chính của các cơ chế, chính sách khoa học công nghệ thúc đẩy doanh nghiệp tham gia ứng phó biến đổi khí hậu</t>
  </si>
  <si>
    <t>Ưu điểm và nhược điểm chính của các cơ chế, chính sách nâng cao nhận thức, giáo dục và đào tạo thúc đẩy doanh nghiệp tham gia ứng phó biến đổi khí hậu</t>
  </si>
  <si>
    <t>CƯu điểm và nhược điểm chính của các cơ chế, chính sách khác thúc đẩy doanh nghiệp tham gia ứng phó biến đổi khí hậu</t>
  </si>
  <si>
    <t>Phân tích, đánh giá thời gian bị gián đoạn sản xuất kinh doanh do biến đổi khí hậu đến doanh nghiệp tại các khu vực khảo sát</t>
  </si>
  <si>
    <t>Phân tích, đánh giá sự thiếu hụt về cơ chế, chính sách tài chính trong các chủ trương của Đảng đối với việc thúc đẩy doanh nghiệp tham gia ứng phó với biến đổi khí hậu</t>
  </si>
  <si>
    <t>Phân tích, đánh giá sự thiếu hụt về cơ chế, chính sách tài chính của Pháp luật của Nhà nước trong việc thể chế hóa chủ trương của Đảng đối với việc thúc đẩy doanh nghiệp tham gia ứng phó với biến đổi khí hậu</t>
  </si>
  <si>
    <t>Phân tích, đánh giá sự thiếu hụt về cơ chế, chính sách khoa học công nghệ trong các chủ trương của Đảng đối với việc thúc đẩy doanh nghiệp tham gia ứng phó với biến đổi khí hậu</t>
  </si>
  <si>
    <t>Phân tích, đánh giá sự thiếu hụt về cơ chế, chính sách khoa học công nghệ của Pháp luật của Nhà nước trong việc thể chế hóa chủ trương của Đảng đối với việc thúc đẩy doanh nghiệp tham gia ứng phó với biến đổi khí hậu</t>
  </si>
  <si>
    <t>Phân tích, đánh giá sự thiếu hụt về cơ chế, chính sách khoa học công nghệ trong việc triển khai thực hiện ở địa phương đối với việc thúc đẩy doanh nghiệp tham gia ứng phó với biến đổi khí hậu.</t>
  </si>
  <si>
    <t>Phân tích, đánh giá sự thiếu hụt về cơ chế, chính sách tài chính trong việc triển khai thực hiện ở địa phương đối với việc thúc đẩy doanh nghiệp tham gia ứng phó với biến đổi khí hậu.</t>
  </si>
  <si>
    <t>Phân tích, đánh giá sự thiếu hụt về cơ chế, chính sách nâng cao nhận thức, giáo dục và đào tạo trong các chủ trương của Đảng đối với việc thúc đẩy doanh nghiệp tham gia ứng phó với biến đổi khí hậu</t>
  </si>
  <si>
    <t>Phân tích, đánh giá sự thiếu hụt về cơ chế, chính sách nâng cao nhận thức, giáo dục và đào tạo của Pháp luật của Nhà nước trong việc thể chế hóa chủ trương của Đảng đối với việc thúc đẩy doanh nghiệp tham gia ứng phó với biến đổi khí hậu</t>
  </si>
  <si>
    <t>Phân tích, đánh giá sự thiếu hụt về cơ chế, chính sách nâng cao nhận thức, giáo dục và đào tạo trong việc triển khai thực hiện ở địa phương đối với việc thúc đẩy doanh nghiệp tham gia ứng phó với biến đổi khí hậu.</t>
  </si>
  <si>
    <t>Phân tích, đánh giá sự thiếu hụt về cơ chế, chính sách khác trong các chủ trương của Đảng đối với việc thúc đẩy doanh nghiệp tham gia ứng phó với biến đổi khí hậu</t>
  </si>
  <si>
    <t>Phân tích, đánh giá sự thiếu hụt về cơ chế, chính sách khác của Pháp luật của Nhà nước trong việc thể chế hóa chủ trương của Đảng đối với việc thúc đẩy doanh nghiệp tham gia ứng phó với biến đổi khí hậu</t>
  </si>
  <si>
    <t>Phân tích, đánh giá sự thiếu hụt về cơ chế, chính sách khác trong việc triển khai thực hiện ở địa phương đối với việc thúc đẩy doanh nghiệp tham gia ứng phó với biến đổi khí hậu.</t>
  </si>
  <si>
    <t>Phân tích, đánh giá nhu cầu về cơ chế, chính sách của doanh nghiệp khi tham gia ứng phó với biến đổi khí hậu</t>
  </si>
  <si>
    <t>Phân tích, đánh giá nhu cầu về cơ chế, chính sách tài chính (tín dụng, bảo hiểm, quỹ, thuế, giá…) của doanh nghiệp khi tham gia ứng phó với biến đổi khí hậu</t>
  </si>
  <si>
    <t>Phân tích, đánh giá nhu cầu về cơ chế, chính sách khoa học công nghệ của doanh nghiệp khi tham gia ứng phó với biến đổi khí hậu</t>
  </si>
  <si>
    <t>Phân tích, đánh giá nhu cầu về cơ chế, chính sách nâng cao nhận thức, giáo dục và đào tạo của doanh nghiệp khi tham gia ứng phó với biến đổi khí hậu</t>
  </si>
  <si>
    <t>Phân tích, đánh giá nhu cầu về cơ chế, chính sách khác của doanh nghiệp khi tham gia ứng phó với biến đổi khí hậu</t>
  </si>
  <si>
    <t>Phân tích, đánh giá cơ hội và thách thức về tài chính đối với doanh nghiệp khi tham gia ứng phó biến đổi khí hậu</t>
  </si>
  <si>
    <t xml:space="preserve">Phân tích, đánh giá cơ hội và thách thức về khoa học công nghệ đối với doanh nghiệp khi tham gia ứng phó biến đổi khí hậu </t>
  </si>
  <si>
    <t xml:space="preserve"> Phân tích, đánh giá cơ hội và thách thức khác đối với doanh nghiệp khi tham gia ứng phó biến đổi khí hậu </t>
  </si>
  <si>
    <t xml:space="preserve"> Phân tích, đánh giá cơ hội và thách thức về nâng cao nhận thức, giáo dục và đào tạo đối với doanh nghiệp khi tham gia ứng phó biến đổi khí hậu </t>
  </si>
  <si>
    <t>Phân tích, đánh giá nguồn lực về khoa học công nghệ của doanh nghiệp trong việc ứng phó biến đổi khí hậu tại các khu vực khảo sátt</t>
  </si>
  <si>
    <t>Phân tích, đánh giá nguồn lực về tài chính của doanh nghiệp trong việc ứng phó biến đổi khí hậu tại các khu vực khảo sát</t>
  </si>
  <si>
    <t>Phân tích, đánh giá nguồn lực của doanh nghiệp trong việc ứng phó biến đổi khí hậu tại các khu vực khảo sát</t>
  </si>
  <si>
    <t>Phân tích, đánh giá nguồn lực khác ủa doanh nghiệp trong việc ứng phó biến đổi khí hậu tại các khu vực khảo sát</t>
  </si>
  <si>
    <t>Phân tích, đánh giá nguồn lực về nhận thức, giáo dục và đào tạo của doanh nghiệp trong việc ứng phó biến đổi khí hậu tại các khu vực khảo sát</t>
  </si>
  <si>
    <t>Chi tiền lương, tiền công phân bổ đối với các hoạt động gián tiếp trong quá trình quản lý nhiệm vụ KH&amp;CN</t>
  </si>
  <si>
    <t>Điện, nước, vật tư, văn phòng phẩm</t>
  </si>
  <si>
    <t>Trọn gói</t>
  </si>
  <si>
    <t>Tổng kinh phí ( đồng)</t>
  </si>
  <si>
    <t>Nguồn vốn (Ngân sách nhà nước)\</t>
  </si>
  <si>
    <t>Phụ cấp công tác phí (05 ngày x 04 người)</t>
  </si>
  <si>
    <t>Phụ cấp công tác phí (05 ngày x 04người)</t>
  </si>
  <si>
    <t>Chủ nhiệm đề tài</t>
  </si>
  <si>
    <t>Chi phí Hội đồng nghiệm thu cấp Bộ</t>
  </si>
  <si>
    <t>TT 109</t>
  </si>
  <si>
    <t>Dẫn chứng</t>
  </si>
  <si>
    <t>theo km 12k</t>
  </si>
  <si>
    <t>Kiểm tra 6 hay 7 vùng</t>
  </si>
  <si>
    <t>Bộ/ngày</t>
  </si>
  <si>
    <t>Thuê hội trường (dưới 100 người)</t>
  </si>
  <si>
    <r>
      <t>Hội thảo 1</t>
    </r>
    <r>
      <rPr>
        <sz val="12"/>
        <color theme="1"/>
        <rFont val="Times New Roman"/>
        <family val="1"/>
        <charset val="163"/>
      </rPr>
      <t>: Hội thảo tham vấn, lấy ý kiến cơ chế chính sách thúc đẩy doanh nghiệp tham gia ứng phó biến đổi khí hậu tại Hà Nội (1 ngày, ban tổ chức 5 người, 70 đại biểu)</t>
    </r>
  </si>
  <si>
    <r>
      <t>Hội thảo 2</t>
    </r>
    <r>
      <rPr>
        <sz val="12"/>
        <color theme="1"/>
        <rFont val="Times New Roman"/>
        <family val="1"/>
        <charset val="163"/>
      </rPr>
      <t>: Hội thảo tham vấn, lấy ý kiến cơ chế chính sách thúc đẩy doanh nghiệp tham gia ứng phó biến đổi khí hậu tại Đà Nẵng (1 ngày, ban tổ chức 5 người, 70 đại biểu)</t>
    </r>
  </si>
  <si>
    <r>
      <t>Hội thảo 3</t>
    </r>
    <r>
      <rPr>
        <sz val="12"/>
        <color theme="1"/>
        <rFont val="Times New Roman"/>
        <family val="1"/>
        <charset val="163"/>
      </rPr>
      <t>: Hội thảo tham vấn, lấy ý kiến cơ chế chính sách thúc đẩy doanh nghiệp tham gia ứng phó biến đổi khí hậu tại Hồ Chí Minh (1 ngày, ban tổ chức 5 người, 70 đại biểu)</t>
    </r>
  </si>
  <si>
    <t>In ấn tài liệu Hội thảo (40.000/bộ)</t>
  </si>
  <si>
    <t>Phụ cấp lưu trú tại Cà Mau (05 người x 6 đêm)</t>
  </si>
  <si>
    <t>Thách thức cơ bản đối với doanh nghiệp tham gia hoạt động ứng phó với biến đổi khí hậu</t>
  </si>
  <si>
    <t>Nhà nước và vai trò kiến tạo cơ chế Chính sách thúc đẩy doanh nghiệp ứng phó BĐKH</t>
  </si>
  <si>
    <t>Nhà nước và vai trò khắc phục những hạn chế, khiếm khuyết thị trường ảnh hưởng đến hoạt động của doanh nghiệp, đồng hành cùng doanh nghiệp</t>
  </si>
  <si>
    <t>Kinh nghiệm quốc tế về cơ chế tài chính thúc đẩy doanh nghiệp tham gia ứng phó biến đổi khí hậu (ví dụ: Tín dụng, bảo hiểm, quỹ, thuế, giá…)</t>
  </si>
  <si>
    <t>Kinh nghiệm quốc tế về cơ chế, chính sách liên quan đến khoa học công nghệ thúc đẩy doanh nghiệp tham gia ứng phó biến đổi khí hậu</t>
  </si>
  <si>
    <t>Kinh nghiệm của các nước phát triển</t>
  </si>
  <si>
    <t>Kinh nghiệm của các nước đang phát triển</t>
  </si>
  <si>
    <t>Kinh nghiệm quốc tế về các cơ chế, chính sách nâng cao nhận thức, giáo dục và đào tạo thúc đẩy doanh nghiệp tham gia ứng phó biến đổi khí hậu.</t>
  </si>
  <si>
    <t>Kinh nghiệm quốc tế về cơ chế, chính sách khác thúc đẩy doanh nghiệp tham gia ứng phó với BĐKH</t>
  </si>
  <si>
    <t>Tổng hợp bài học cho Việt Nam trong xây dựng cơ chế, chính sách thúc đẩy doanh nghiệp tham gia ứng phó BĐKH</t>
  </si>
  <si>
    <t>Bài học về cơ chế, chính sách tài chính</t>
  </si>
  <si>
    <t xml:space="preserve">Bài học về cơ chế, chính sách khoa học công nghệ </t>
  </si>
  <si>
    <t xml:space="preserve">Bài học về cơ chế, chính sách nâng cao nhận thức, giáo dục và đào tạo </t>
  </si>
  <si>
    <t>Bài học về cơ chế, chính sách khác</t>
  </si>
  <si>
    <t xml:space="preserve"> Nội dung 2: Tổng quan hệ thống cơ chế, chính sách liên quan đến thúc đẩy doanh nghiệp ứng phó với BĐKH tại Việt Nam</t>
  </si>
  <si>
    <t xml:space="preserve">Nội dung 3. Nghiên cứu xác định tác động của BĐKH đến doanh nghiệp và hiện trạng ứng phó biến đổi khí hậu của doanh nghiệp </t>
  </si>
  <si>
    <t>Nghiên cứu đề xuất quan điểm, mục tiêu của dự thảo Đề án cơ chế, chính sách thúc đẩy doanh nghiệp tham gia ứng phó với BĐKH</t>
  </si>
  <si>
    <t>Nghiên cứu đề xuất nhiệm vụ của dự thảo Đề án cơ chế, chính sách thúc đẩy doanh nghiệp tham gia ứng phó với BĐKH</t>
  </si>
  <si>
    <t>Nghiên cứu đề xuất giải pháp của dự thảo Đề án cơ chế, chính sách thúc đẩy doanh nghiệp tham gia ứng phó với BĐKH</t>
  </si>
  <si>
    <t>Phụ lục danh mục chương trình, dự án của đề án ưu tiên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</si>
</sst>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_);_(* \(#,##0\);_(* &quot;-&quot;??_);_(@_)"/>
    <numFmt numFmtId="166" formatCode="_-* #,##0.00\ _₫_-;\-* #,##0.00\ _₫_-;_-* &quot;-&quot;&quot;?&quot;&quot;?&quot;\ _₫_-;_-@_-"/>
    <numFmt numFmtId="167" formatCode="_-* #,##0\ _₫_-;\-* #,##0\ _₫_-;_-* &quot;-&quot;&quot;?&quot;&quot;?&quot;\ _₫_-;_-@_-"/>
    <numFmt numFmtId="168" formatCode="0.0"/>
    <numFmt numFmtId="169" formatCode="&quot;$&quot;#,##0.00"/>
    <numFmt numFmtId="170" formatCode="_(* #,##0.000_);_(* \(#,##0.000\);_(* &quot;-&quot;??_);_(@_)"/>
    <numFmt numFmtId="171" formatCode="_(* #,##0.0_);_(* \(#,##0.0\);_(* &quot;-&quot;??_);_(@_)"/>
    <numFmt numFmtId="172" formatCode="_-* #,##0_-;\-* #,##0_-;_-* &quot;-&quot;??_-;_-@_-"/>
    <numFmt numFmtId="173" formatCode="0.0000"/>
    <numFmt numFmtId="174" formatCode="_-* #,##0\ _€_-;\-* #,##0\ _€_-;_-* &quot;-&quot;??\ _€_-;_-@_-"/>
  </numFmts>
  <fonts count="124" x14ac:knownFonts="1">
    <font>
      <sz val="11"/>
      <color theme="1"/>
      <name val="Calibri"/>
      <family val="2"/>
      <scheme val="minor"/>
    </font>
    <font>
      <sz val="11"/>
      <color theme="1"/>
      <name val="Calibri"/>
      <family val="2"/>
      <scheme val="minor"/>
    </font>
    <font>
      <sz val="10"/>
      <name val=".VnTime"/>
      <family val="2"/>
    </font>
    <font>
      <sz val="11"/>
      <color theme="1"/>
      <name val="Times New Roman"/>
      <family val="1"/>
    </font>
    <font>
      <b/>
      <sz val="11"/>
      <color theme="1"/>
      <name val="Times New Roman"/>
      <family val="1"/>
    </font>
    <font>
      <sz val="11"/>
      <color rgb="FF000000"/>
      <name val="Times New Roman"/>
      <family val="1"/>
    </font>
    <font>
      <b/>
      <i/>
      <sz val="11"/>
      <color theme="1"/>
      <name val="Times New Roman"/>
      <family val="1"/>
    </font>
    <font>
      <sz val="10"/>
      <name val="Arial"/>
      <family val="2"/>
    </font>
    <font>
      <sz val="10"/>
      <name val="Arial"/>
      <family val="2"/>
    </font>
    <font>
      <b/>
      <sz val="11"/>
      <color rgb="FFFF0000"/>
      <name val="Times New Roman"/>
      <family val="1"/>
    </font>
    <font>
      <b/>
      <i/>
      <sz val="12"/>
      <color theme="1"/>
      <name val="Times New Roman"/>
      <family val="1"/>
    </font>
    <font>
      <sz val="11"/>
      <color rgb="FFFF0000"/>
      <name val="Calibri"/>
      <family val="2"/>
      <scheme val="minor"/>
    </font>
    <font>
      <sz val="11"/>
      <name val="Times New Roman"/>
      <family val="1"/>
    </font>
    <font>
      <b/>
      <sz val="14"/>
      <color theme="1"/>
      <name val="Times New Roman"/>
      <family val="1"/>
    </font>
    <font>
      <sz val="11"/>
      <color indexed="8"/>
      <name val="Calibri"/>
      <family val="2"/>
    </font>
    <font>
      <b/>
      <sz val="13"/>
      <color indexed="8"/>
      <name val="Times New Roman"/>
      <family val="1"/>
    </font>
    <font>
      <sz val="13"/>
      <color theme="1"/>
      <name val="Times New Roman"/>
      <family val="1"/>
    </font>
    <font>
      <b/>
      <sz val="13"/>
      <name val="Times New Roman"/>
      <family val="1"/>
    </font>
    <font>
      <b/>
      <sz val="11"/>
      <color theme="1"/>
      <name val="Calibri"/>
      <family val="2"/>
      <scheme val="minor"/>
    </font>
    <font>
      <b/>
      <sz val="11"/>
      <name val="Times New Roman"/>
      <family val="1"/>
    </font>
    <font>
      <b/>
      <sz val="13"/>
      <color rgb="FFFF0000"/>
      <name val="Times New Roman"/>
      <family val="1"/>
    </font>
    <font>
      <b/>
      <sz val="13"/>
      <color theme="1"/>
      <name val="Times New Roman"/>
      <family val="1"/>
    </font>
    <font>
      <b/>
      <sz val="12"/>
      <color theme="1"/>
      <name val="Times New Roman"/>
      <family val="1"/>
    </font>
    <font>
      <sz val="14"/>
      <color theme="1"/>
      <name val="Times New Roman"/>
      <family val="1"/>
    </font>
    <font>
      <i/>
      <sz val="13"/>
      <color theme="1"/>
      <name val="Times New Roman"/>
      <family val="1"/>
    </font>
    <font>
      <sz val="14"/>
      <color theme="1"/>
      <name val="Calibri"/>
      <family val="2"/>
      <scheme val="minor"/>
    </font>
    <font>
      <b/>
      <i/>
      <sz val="14"/>
      <color theme="1"/>
      <name val="Times New Roman"/>
      <family val="1"/>
    </font>
    <font>
      <i/>
      <sz val="14"/>
      <color theme="1"/>
      <name val="Calibri"/>
      <family val="2"/>
      <scheme val="minor"/>
    </font>
    <font>
      <i/>
      <sz val="14"/>
      <color theme="1"/>
      <name val="Times New Roman"/>
      <family val="1"/>
    </font>
    <font>
      <b/>
      <sz val="14"/>
      <color theme="1"/>
      <name val="Calibri"/>
      <family val="2"/>
      <scheme val="minor"/>
    </font>
    <font>
      <sz val="14"/>
      <name val="Times New Roman"/>
      <family val="1"/>
    </font>
    <font>
      <b/>
      <i/>
      <sz val="11"/>
      <color theme="1"/>
      <name val="Calibri"/>
      <family val="2"/>
      <scheme val="minor"/>
    </font>
    <font>
      <i/>
      <sz val="12"/>
      <color theme="1"/>
      <name val="Times New Roman"/>
      <family val="1"/>
    </font>
    <font>
      <sz val="13"/>
      <color rgb="FFFF0000"/>
      <name val="Times New Roman"/>
      <family val="1"/>
    </font>
    <font>
      <i/>
      <sz val="13"/>
      <color rgb="FFFF0000"/>
      <name val="Times New Roman"/>
      <family val="1"/>
    </font>
    <font>
      <sz val="11"/>
      <color theme="1"/>
      <name val="Calibri"/>
      <family val="2"/>
      <charset val="163"/>
      <scheme val="minor"/>
    </font>
    <font>
      <b/>
      <sz val="14"/>
      <name val="Times New Roman"/>
      <family val="1"/>
    </font>
    <font>
      <sz val="10"/>
      <name val="MS Sans Serif"/>
      <family val="2"/>
    </font>
    <font>
      <sz val="14"/>
      <name val="Calibri"/>
      <family val="2"/>
      <charset val="163"/>
      <scheme val="minor"/>
    </font>
    <font>
      <sz val="14"/>
      <color theme="1"/>
      <name val="Times New Roman"/>
      <family val="1"/>
      <charset val="163"/>
    </font>
    <font>
      <i/>
      <sz val="14"/>
      <name val="Calibri"/>
      <family val="2"/>
      <charset val="163"/>
      <scheme val="minor"/>
    </font>
    <font>
      <b/>
      <i/>
      <sz val="14"/>
      <name val="Times New Roman"/>
      <family val="1"/>
    </font>
    <font>
      <i/>
      <sz val="14"/>
      <name val="Times New Roman"/>
      <family val="1"/>
    </font>
    <font>
      <b/>
      <i/>
      <sz val="13"/>
      <color theme="1"/>
      <name val="Times New Roman"/>
      <family val="1"/>
    </font>
    <font>
      <sz val="13"/>
      <name val="Times New Roman"/>
      <family val="1"/>
    </font>
    <font>
      <sz val="12"/>
      <name val=".VnArial"/>
      <family val="2"/>
    </font>
    <font>
      <sz val="12"/>
      <color theme="1"/>
      <name val="Times New Roman"/>
      <family val="1"/>
    </font>
    <font>
      <sz val="14"/>
      <name val=".VnTime"/>
      <family val="2"/>
    </font>
    <font>
      <sz val="10"/>
      <name val="Arial"/>
      <family val="2"/>
      <charset val="163"/>
    </font>
    <font>
      <b/>
      <sz val="12"/>
      <name val="Times New Roman"/>
      <family val="1"/>
    </font>
    <font>
      <sz val="15"/>
      <name val="Times New Roman"/>
      <family val="1"/>
    </font>
    <font>
      <b/>
      <sz val="15"/>
      <name val="Times New Roman"/>
      <family val="1"/>
    </font>
    <font>
      <sz val="12"/>
      <name val="Times New Roman"/>
      <family val="1"/>
    </font>
    <font>
      <b/>
      <sz val="16"/>
      <name val="Times New Roman"/>
      <family val="1"/>
    </font>
    <font>
      <i/>
      <sz val="13"/>
      <name val="Times New Roman"/>
      <family val="1"/>
    </font>
    <font>
      <b/>
      <i/>
      <sz val="13"/>
      <name val="Times New Roman"/>
      <family val="1"/>
    </font>
    <font>
      <sz val="11"/>
      <name val="Calibri"/>
      <family val="2"/>
      <scheme val="minor"/>
    </font>
    <font>
      <sz val="14"/>
      <name val="Calibri"/>
      <family val="2"/>
      <scheme val="minor"/>
    </font>
    <font>
      <sz val="13"/>
      <color indexed="8"/>
      <name val="Times New Roman"/>
      <family val="1"/>
    </font>
    <font>
      <b/>
      <i/>
      <sz val="11"/>
      <color rgb="FF000000"/>
      <name val="Times New Roman"/>
      <family val="1"/>
    </font>
    <font>
      <b/>
      <i/>
      <sz val="11"/>
      <color rgb="FFFF0000"/>
      <name val="Calibri"/>
      <family val="2"/>
      <scheme val="minor"/>
    </font>
    <font>
      <sz val="13"/>
      <color rgb="FF003399"/>
      <name val="Times New Roman"/>
      <family val="1"/>
    </font>
    <font>
      <sz val="13"/>
      <color rgb="FF003399"/>
      <name val="Calibri"/>
      <family val="2"/>
      <scheme val="minor"/>
    </font>
    <font>
      <sz val="14"/>
      <color rgb="FF003399"/>
      <name val="Calibri"/>
      <family val="2"/>
      <scheme val="minor"/>
    </font>
    <font>
      <b/>
      <sz val="13"/>
      <color rgb="FF003399"/>
      <name val="Times New Roman"/>
      <family val="1"/>
    </font>
    <font>
      <b/>
      <i/>
      <sz val="13"/>
      <color rgb="FF003399"/>
      <name val="Times New Roman"/>
      <family val="1"/>
    </font>
    <font>
      <b/>
      <sz val="14"/>
      <color rgb="FF003399"/>
      <name val="Calibri"/>
      <family val="2"/>
      <scheme val="minor"/>
    </font>
    <font>
      <i/>
      <sz val="13"/>
      <color rgb="FF003399"/>
      <name val="Times New Roman"/>
      <family val="1"/>
    </font>
    <font>
      <i/>
      <sz val="14"/>
      <color rgb="FF003399"/>
      <name val="Calibri"/>
      <family val="2"/>
      <scheme val="minor"/>
    </font>
    <font>
      <sz val="14"/>
      <color rgb="FF003399"/>
      <name val="Times New Roman"/>
      <family val="1"/>
    </font>
    <font>
      <b/>
      <sz val="11"/>
      <color rgb="FF003399"/>
      <name val="Times New Roman"/>
      <family val="1"/>
    </font>
    <font>
      <sz val="12"/>
      <name val=".VnTime"/>
      <family val="2"/>
    </font>
    <font>
      <u/>
      <sz val="11"/>
      <color theme="10"/>
      <name val="Calibri"/>
      <family val="2"/>
      <scheme val="minor"/>
    </font>
    <font>
      <sz val="11"/>
      <color theme="1"/>
      <name val="Arial"/>
      <family val="2"/>
      <charset val="163"/>
    </font>
    <font>
      <i/>
      <sz val="12"/>
      <name val="Times New Roman"/>
      <family val="1"/>
    </font>
    <font>
      <b/>
      <i/>
      <sz val="12"/>
      <name val="Times New Roman"/>
      <family val="1"/>
    </font>
    <font>
      <u/>
      <sz val="12"/>
      <color theme="10"/>
      <name val="Times New Roman"/>
      <family val="1"/>
    </font>
    <font>
      <sz val="12"/>
      <color rgb="FF000099"/>
      <name val="Times New Roman"/>
      <family val="1"/>
    </font>
    <font>
      <sz val="12"/>
      <color rgb="FF003399"/>
      <name val="Times New Roman"/>
      <family val="1"/>
    </font>
    <font>
      <sz val="12"/>
      <name val="Calibri"/>
      <family val="2"/>
      <charset val="163"/>
      <scheme val="minor"/>
    </font>
    <font>
      <i/>
      <sz val="12"/>
      <name val="Calibri"/>
      <family val="2"/>
      <charset val="163"/>
      <scheme val="minor"/>
    </font>
    <font>
      <sz val="12"/>
      <name val="Cambria"/>
      <family val="1"/>
      <scheme val="major"/>
    </font>
    <font>
      <b/>
      <sz val="12"/>
      <name val="Cambria"/>
      <family val="1"/>
      <scheme val="major"/>
    </font>
    <font>
      <i/>
      <sz val="14"/>
      <name val="Calibri"/>
      <family val="2"/>
      <scheme val="minor"/>
    </font>
    <font>
      <b/>
      <i/>
      <sz val="11"/>
      <name val="Times New Roman"/>
      <family val="1"/>
    </font>
    <font>
      <sz val="10"/>
      <color theme="1"/>
      <name val="Calibri"/>
      <family val="2"/>
      <scheme val="minor"/>
    </font>
    <font>
      <b/>
      <sz val="12"/>
      <color rgb="FF003399"/>
      <name val="Times New Roman"/>
      <family val="1"/>
    </font>
    <font>
      <b/>
      <i/>
      <sz val="12"/>
      <color rgb="FF003399"/>
      <name val="Times New Roman"/>
      <family val="1"/>
    </font>
    <font>
      <sz val="12"/>
      <color theme="1"/>
      <name val="Calibri"/>
      <family val="2"/>
      <scheme val="minor"/>
    </font>
    <font>
      <b/>
      <sz val="12"/>
      <color indexed="8"/>
      <name val="Times New Roman"/>
      <family val="1"/>
    </font>
    <font>
      <sz val="12"/>
      <color rgb="FF000000"/>
      <name val="Times New Roman"/>
      <family val="1"/>
    </font>
    <font>
      <b/>
      <sz val="13"/>
      <color rgb="FF000000"/>
      <name val="Times New Roman"/>
      <family val="1"/>
    </font>
    <font>
      <sz val="13"/>
      <color rgb="FF000000"/>
      <name val="Times New Roman"/>
      <family val="1"/>
    </font>
    <font>
      <b/>
      <i/>
      <sz val="13"/>
      <color rgb="FF000000"/>
      <name val="Times New Roman"/>
      <family val="1"/>
    </font>
    <font>
      <i/>
      <sz val="13"/>
      <color rgb="FF000000"/>
      <name val="Times New Roman"/>
      <family val="1"/>
    </font>
    <font>
      <b/>
      <i/>
      <sz val="12"/>
      <color rgb="FFFF0000"/>
      <name val="Times New Roman"/>
      <family val="1"/>
    </font>
    <font>
      <sz val="12"/>
      <color rgb="FFFF0000"/>
      <name val="Times New Roman"/>
      <family val="1"/>
    </font>
    <font>
      <b/>
      <sz val="12"/>
      <color theme="1"/>
      <name val="Times New Roman"/>
      <family val="1"/>
      <charset val="163"/>
    </font>
    <font>
      <sz val="12"/>
      <color theme="1"/>
      <name val="Times New Roman"/>
      <family val="1"/>
      <charset val="163"/>
    </font>
    <font>
      <i/>
      <sz val="12"/>
      <color theme="1"/>
      <name val="Times New Roman"/>
      <family val="1"/>
      <charset val="163"/>
    </font>
    <font>
      <b/>
      <sz val="13"/>
      <color theme="1"/>
      <name val="Times New Roman"/>
      <family val="1"/>
      <charset val="163"/>
    </font>
    <font>
      <sz val="10"/>
      <name val="Times New Roman"/>
      <family val="1"/>
    </font>
    <font>
      <b/>
      <sz val="10"/>
      <name val="Times New Roman"/>
      <family val="1"/>
    </font>
    <font>
      <i/>
      <sz val="10"/>
      <name val="Times New Roman"/>
      <family val="1"/>
    </font>
    <font>
      <i/>
      <sz val="8"/>
      <name val="Times New Roman"/>
      <family val="1"/>
    </font>
    <font>
      <b/>
      <i/>
      <sz val="10"/>
      <name val="Times New Roman"/>
      <family val="1"/>
    </font>
    <font>
      <b/>
      <sz val="12"/>
      <color indexed="8"/>
      <name val="Times New Roman"/>
      <family val="1"/>
      <charset val="163"/>
    </font>
    <font>
      <i/>
      <sz val="12"/>
      <color indexed="8"/>
      <name val="Times New Roman"/>
      <family val="1"/>
      <charset val="163"/>
    </font>
    <font>
      <sz val="12"/>
      <color indexed="8"/>
      <name val="Times New Roman"/>
      <family val="1"/>
      <charset val="163"/>
    </font>
    <font>
      <b/>
      <i/>
      <sz val="10"/>
      <color rgb="FFC00000"/>
      <name val="Times New Roman"/>
      <family val="1"/>
      <charset val="163"/>
    </font>
    <font>
      <b/>
      <i/>
      <sz val="10"/>
      <color rgb="FF000099"/>
      <name val="Times New Roman"/>
      <family val="1"/>
    </font>
    <font>
      <b/>
      <sz val="11"/>
      <color theme="1"/>
      <name val="Times New Roman"/>
      <family val="1"/>
      <charset val="163"/>
    </font>
    <font>
      <b/>
      <sz val="10"/>
      <name val="Times New Roman"/>
      <family val="1"/>
      <charset val="163"/>
    </font>
    <font>
      <b/>
      <i/>
      <sz val="11"/>
      <name val="Times New Roman"/>
      <family val="1"/>
      <charset val="163"/>
    </font>
    <font>
      <i/>
      <sz val="11"/>
      <name val="Times New Roman"/>
      <family val="1"/>
    </font>
    <font>
      <sz val="10"/>
      <name val="Arial"/>
      <family val="2"/>
      <charset val="204"/>
    </font>
    <font>
      <b/>
      <sz val="11"/>
      <name val="Times New Roman"/>
      <family val="1"/>
      <charset val="163"/>
    </font>
    <font>
      <sz val="11"/>
      <name val="Times New Roman"/>
      <family val="1"/>
      <charset val="163"/>
    </font>
    <font>
      <i/>
      <sz val="11"/>
      <color theme="1"/>
      <name val="Times New Roman"/>
      <family val="1"/>
    </font>
    <font>
      <b/>
      <vertAlign val="superscript"/>
      <sz val="12"/>
      <color theme="1"/>
      <name val="Times New Roman"/>
      <family val="1"/>
    </font>
    <font>
      <sz val="11"/>
      <color theme="1"/>
      <name val="Times New Roman"/>
      <family val="1"/>
      <charset val="163"/>
    </font>
    <font>
      <i/>
      <sz val="11"/>
      <color theme="1"/>
      <name val="Times New Roman"/>
      <family val="1"/>
      <charset val="163"/>
    </font>
    <font>
      <sz val="8"/>
      <name val="Calibri"/>
      <family val="2"/>
      <scheme val="minor"/>
    </font>
    <font>
      <sz val="11"/>
      <color indexed="8"/>
      <name val="Times New Roman"/>
      <family val="1"/>
      <charset val="163"/>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5"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24">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xf numFmtId="0" fontId="7" fillId="0" borderId="0"/>
    <xf numFmtId="43" fontId="7" fillId="0" borderId="0" applyFont="0" applyFill="0" applyBorder="0" applyAlignment="0" applyProtection="0"/>
    <xf numFmtId="0" fontId="8" fillId="0" borderId="0"/>
    <xf numFmtId="43" fontId="14" fillId="0" borderId="0" applyFont="0" applyFill="0" applyBorder="0" applyAlignment="0" applyProtection="0"/>
    <xf numFmtId="9" fontId="14" fillId="0" borderId="0" applyFont="0" applyFill="0" applyBorder="0" applyAlignment="0" applyProtection="0"/>
    <xf numFmtId="0" fontId="35" fillId="0" borderId="0"/>
    <xf numFmtId="166" fontId="35" fillId="0" borderId="0" applyFont="0" applyFill="0" applyBorder="0" applyAlignment="0" applyProtection="0"/>
    <xf numFmtId="0" fontId="37" fillId="0" borderId="0"/>
    <xf numFmtId="0" fontId="45" fillId="0" borderId="0"/>
    <xf numFmtId="0" fontId="7" fillId="0" borderId="0"/>
    <xf numFmtId="0" fontId="47" fillId="0" borderId="0"/>
    <xf numFmtId="0" fontId="48" fillId="0" borderId="0"/>
    <xf numFmtId="0" fontId="71" fillId="0" borderId="0"/>
    <xf numFmtId="0" fontId="72" fillId="0" borderId="0" applyNumberFormat="0" applyFill="0" applyBorder="0" applyAlignment="0" applyProtection="0"/>
    <xf numFmtId="0" fontId="73" fillId="0" borderId="0"/>
    <xf numFmtId="164" fontId="48" fillId="0" borderId="0" applyFont="0" applyFill="0" applyBorder="0" applyAlignment="0" applyProtection="0"/>
    <xf numFmtId="0" fontId="7" fillId="0" borderId="0"/>
    <xf numFmtId="0" fontId="1" fillId="0" borderId="0"/>
    <xf numFmtId="0" fontId="1" fillId="0" borderId="0"/>
    <xf numFmtId="0" fontId="115" fillId="0" borderId="0"/>
  </cellStyleXfs>
  <cellXfs count="1179">
    <xf numFmtId="0" fontId="0" fillId="0" borderId="0" xfId="0"/>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3" fontId="3" fillId="0" borderId="1" xfId="0" applyNumberFormat="1" applyFont="1" applyFill="1" applyBorder="1" applyAlignment="1">
      <alignment horizontal="right" vertical="center"/>
    </xf>
    <xf numFmtId="0" fontId="3" fillId="0" borderId="1" xfId="0" applyFont="1" applyFill="1" applyBorder="1" applyAlignment="1">
      <alignment horizontal="left" vertical="center" wrapText="1"/>
    </xf>
    <xf numFmtId="3" fontId="3" fillId="0" borderId="1" xfId="0" applyNumberFormat="1" applyFont="1" applyFill="1" applyBorder="1" applyAlignment="1">
      <alignment vertical="center"/>
    </xf>
    <xf numFmtId="0" fontId="5" fillId="0" borderId="1" xfId="0" applyFont="1" applyFill="1" applyBorder="1" applyAlignment="1">
      <alignment horizontal="justify" vertical="center" wrapText="1"/>
    </xf>
    <xf numFmtId="0" fontId="3" fillId="0" borderId="1" xfId="0" applyFont="1" applyFill="1" applyBorder="1" applyAlignment="1"/>
    <xf numFmtId="0" fontId="3" fillId="0" borderId="0" xfId="0" applyFont="1" applyFill="1"/>
    <xf numFmtId="0" fontId="0" fillId="0" borderId="0" xfId="0" applyFill="1"/>
    <xf numFmtId="3" fontId="0" fillId="0" borderId="0" xfId="0" applyNumberFormat="1" applyFill="1"/>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3" fontId="9" fillId="0" borderId="1" xfId="0" applyNumberFormat="1" applyFont="1" applyFill="1" applyBorder="1" applyAlignment="1">
      <alignment horizontal="right" vertical="center"/>
    </xf>
    <xf numFmtId="0" fontId="10" fillId="0" borderId="1" xfId="0"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3" fontId="0" fillId="0" borderId="0" xfId="0" applyNumberFormat="1"/>
    <xf numFmtId="3" fontId="9" fillId="0" borderId="1" xfId="0" applyNumberFormat="1" applyFont="1" applyFill="1" applyBorder="1" applyAlignment="1">
      <alignment horizontal="right" vertical="center" wrapText="1"/>
    </xf>
    <xf numFmtId="0" fontId="11" fillId="0" borderId="0" xfId="0" applyFont="1"/>
    <xf numFmtId="43" fontId="1" fillId="0" borderId="0" xfId="7" applyFont="1"/>
    <xf numFmtId="43" fontId="0" fillId="0" borderId="0" xfId="0" applyNumberFormat="1"/>
    <xf numFmtId="0" fontId="0" fillId="0" borderId="0" xfId="0"/>
    <xf numFmtId="0" fontId="22" fillId="0" borderId="1" xfId="0" applyFont="1" applyFill="1" applyBorder="1" applyAlignment="1">
      <alignment horizontal="center" vertical="center" wrapText="1"/>
    </xf>
    <xf numFmtId="3" fontId="22"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0" fillId="0" borderId="0" xfId="0" applyFont="1" applyFill="1"/>
    <xf numFmtId="0" fontId="0" fillId="0" borderId="0" xfId="0" applyFont="1" applyFill="1" applyAlignment="1">
      <alignment horizontal="center" vertical="center"/>
    </xf>
    <xf numFmtId="3" fontId="0" fillId="0" borderId="0" xfId="0" applyNumberFormat="1" applyFont="1" applyFill="1"/>
    <xf numFmtId="0" fontId="0" fillId="0" borderId="0" xfId="0" applyFont="1"/>
    <xf numFmtId="3" fontId="0" fillId="0" borderId="0" xfId="0" applyNumberFormat="1" applyFont="1"/>
    <xf numFmtId="0" fontId="25" fillId="0" borderId="0" xfId="0" applyFont="1"/>
    <xf numFmtId="0" fontId="27" fillId="0" borderId="0" xfId="0" applyFont="1" applyBorder="1"/>
    <xf numFmtId="0" fontId="27" fillId="0" borderId="0" xfId="0" applyFont="1"/>
    <xf numFmtId="0" fontId="25" fillId="0" borderId="0" xfId="0" applyFont="1" applyFill="1"/>
    <xf numFmtId="0" fontId="25" fillId="0" borderId="0" xfId="0" applyFont="1" applyFill="1" applyAlignment="1">
      <alignment horizontal="center" vertical="center"/>
    </xf>
    <xf numFmtId="3" fontId="25" fillId="0" borderId="0" xfId="0" applyNumberFormat="1" applyFont="1" applyFill="1"/>
    <xf numFmtId="0" fontId="28" fillId="0" borderId="0" xfId="0" applyFont="1" applyFill="1" applyBorder="1" applyAlignment="1">
      <alignment vertical="center" wrapText="1"/>
    </xf>
    <xf numFmtId="3" fontId="12" fillId="2" borderId="1" xfId="0" applyNumberFormat="1" applyFont="1" applyFill="1" applyBorder="1" applyAlignment="1">
      <alignment vertical="center"/>
    </xf>
    <xf numFmtId="3" fontId="19" fillId="0" borderId="1" xfId="0" applyNumberFormat="1" applyFont="1" applyFill="1" applyBorder="1" applyAlignment="1">
      <alignment vertical="center"/>
    </xf>
    <xf numFmtId="3" fontId="12" fillId="2" borderId="1" xfId="0" applyNumberFormat="1" applyFont="1" applyFill="1" applyBorder="1" applyAlignment="1">
      <alignment horizontal="right" vertical="center"/>
    </xf>
    <xf numFmtId="0" fontId="31" fillId="0" borderId="0" xfId="0" applyFont="1"/>
    <xf numFmtId="0" fontId="23" fillId="0" borderId="6" xfId="0" applyFont="1" applyFill="1" applyBorder="1" applyAlignment="1">
      <alignment horizontal="center" vertical="center" wrapText="1"/>
    </xf>
    <xf numFmtId="0" fontId="23" fillId="0" borderId="0" xfId="0" applyFont="1" applyFill="1" applyBorder="1" applyAlignment="1">
      <alignment vertical="center" wrapText="1"/>
    </xf>
    <xf numFmtId="0" fontId="25" fillId="0" borderId="0" xfId="0" applyFont="1" applyBorder="1"/>
    <xf numFmtId="0" fontId="0" fillId="0" borderId="0" xfId="0" applyBorder="1"/>
    <xf numFmtId="3" fontId="0" fillId="0" borderId="0" xfId="0" applyNumberFormat="1" applyBorder="1"/>
    <xf numFmtId="0" fontId="30" fillId="0" borderId="1" xfId="9" applyFont="1" applyFill="1" applyBorder="1" applyAlignment="1">
      <alignment horizontal="center" vertical="top" wrapText="1"/>
    </xf>
    <xf numFmtId="0" fontId="38" fillId="0" borderId="0" xfId="9" applyFont="1" applyFill="1"/>
    <xf numFmtId="0" fontId="13" fillId="0" borderId="1" xfId="9" applyFont="1" applyFill="1" applyBorder="1" applyAlignment="1">
      <alignment vertical="top" wrapText="1"/>
    </xf>
    <xf numFmtId="165" fontId="30" fillId="0" borderId="1" xfId="1" applyNumberFormat="1" applyFont="1" applyFill="1" applyBorder="1" applyAlignment="1">
      <alignment horizontal="right" vertical="top" wrapText="1"/>
    </xf>
    <xf numFmtId="165" fontId="42" fillId="0" borderId="1" xfId="1" applyNumberFormat="1" applyFont="1" applyFill="1" applyBorder="1" applyAlignment="1">
      <alignment horizontal="right" vertical="top" wrapText="1"/>
    </xf>
    <xf numFmtId="165" fontId="38" fillId="0" borderId="0" xfId="1" applyNumberFormat="1" applyFont="1" applyFill="1"/>
    <xf numFmtId="0" fontId="29" fillId="0" borderId="0" xfId="0" applyFont="1" applyFill="1"/>
    <xf numFmtId="0" fontId="43" fillId="0" borderId="6" xfId="0" applyFont="1" applyFill="1" applyBorder="1" applyAlignment="1">
      <alignment horizontal="center" vertical="center" wrapText="1"/>
    </xf>
    <xf numFmtId="0" fontId="21" fillId="0" borderId="1" xfId="0" applyFont="1" applyFill="1" applyBorder="1" applyAlignment="1">
      <alignment horizontal="center" vertical="center" wrapText="1"/>
    </xf>
    <xf numFmtId="3" fontId="21" fillId="0" borderId="1" xfId="0" applyNumberFormat="1" applyFont="1" applyFill="1" applyBorder="1" applyAlignment="1">
      <alignment horizontal="center" vertical="center" wrapText="1"/>
    </xf>
    <xf numFmtId="0" fontId="44" fillId="0" borderId="1" xfId="0" applyFont="1" applyFill="1" applyBorder="1" applyAlignment="1">
      <alignment horizontal="left" vertical="center" wrapText="1"/>
    </xf>
    <xf numFmtId="0" fontId="36" fillId="0" borderId="1" xfId="0" applyFont="1" applyFill="1" applyBorder="1" applyAlignment="1">
      <alignment horizontal="center" vertical="top" wrapText="1"/>
    </xf>
    <xf numFmtId="0" fontId="30" fillId="0" borderId="1" xfId="0" applyFont="1" applyFill="1" applyBorder="1" applyAlignment="1">
      <alignment horizontal="center" vertical="top" wrapText="1"/>
    </xf>
    <xf numFmtId="0" fontId="38" fillId="0" borderId="0" xfId="0" applyFont="1" applyFill="1"/>
    <xf numFmtId="0" fontId="30" fillId="0" borderId="1" xfId="0" applyFont="1" applyFill="1" applyBorder="1" applyAlignment="1">
      <alignment horizontal="justify" vertical="top" wrapText="1"/>
    </xf>
    <xf numFmtId="0" fontId="30" fillId="0" borderId="3" xfId="0" applyFont="1" applyFill="1" applyBorder="1" applyAlignment="1">
      <alignment horizontal="center" vertical="top" wrapText="1"/>
    </xf>
    <xf numFmtId="0" fontId="39" fillId="0" borderId="1" xfId="0" quotePrefix="1" applyFont="1" applyFill="1" applyBorder="1"/>
    <xf numFmtId="0" fontId="30" fillId="0" borderId="1" xfId="0" quotePrefix="1" applyFont="1" applyFill="1" applyBorder="1" applyAlignment="1">
      <alignment horizontal="justify" vertical="top" wrapText="1"/>
    </xf>
    <xf numFmtId="0" fontId="39" fillId="0" borderId="1" xfId="0" applyFont="1" applyFill="1" applyBorder="1" applyAlignment="1">
      <alignment vertical="top"/>
    </xf>
    <xf numFmtId="0" fontId="39" fillId="0" borderId="1" xfId="0" applyFont="1" applyFill="1" applyBorder="1" applyAlignment="1">
      <alignment vertical="top" wrapText="1"/>
    </xf>
    <xf numFmtId="0" fontId="13" fillId="0" borderId="1" xfId="0" applyFont="1" applyFill="1" applyBorder="1" applyAlignment="1">
      <alignment horizontal="center" vertical="top" wrapText="1"/>
    </xf>
    <xf numFmtId="167" fontId="38" fillId="0" borderId="0" xfId="0" applyNumberFormat="1" applyFont="1" applyFill="1"/>
    <xf numFmtId="0" fontId="41" fillId="0" borderId="1" xfId="0" applyFont="1" applyFill="1" applyBorder="1" applyAlignment="1">
      <alignment horizontal="center" vertical="top" wrapText="1"/>
    </xf>
    <xf numFmtId="0" fontId="26" fillId="0" borderId="1" xfId="0" applyFont="1" applyFill="1" applyBorder="1" applyAlignment="1">
      <alignment vertical="top" wrapText="1"/>
    </xf>
    <xf numFmtId="0" fontId="42" fillId="0" borderId="1" xfId="0" applyFont="1" applyFill="1" applyBorder="1" applyAlignment="1">
      <alignment horizontal="center" vertical="top" wrapText="1"/>
    </xf>
    <xf numFmtId="0" fontId="42" fillId="0" borderId="1" xfId="0" applyFont="1" applyFill="1" applyBorder="1" applyAlignment="1">
      <alignment vertical="top" wrapText="1"/>
    </xf>
    <xf numFmtId="0" fontId="40" fillId="0" borderId="0" xfId="0" applyFont="1" applyFill="1"/>
    <xf numFmtId="0" fontId="46" fillId="2" borderId="0" xfId="13" applyFont="1" applyFill="1"/>
    <xf numFmtId="0" fontId="22" fillId="2" borderId="1" xfId="14" applyFont="1" applyFill="1" applyBorder="1" applyAlignment="1">
      <alignment horizontal="center" vertical="center" wrapText="1"/>
    </xf>
    <xf numFmtId="0" fontId="22" fillId="2" borderId="4" xfId="14" applyFont="1" applyFill="1" applyBorder="1" applyAlignment="1">
      <alignment horizontal="center" vertical="center" wrapText="1"/>
    </xf>
    <xf numFmtId="0" fontId="22" fillId="2" borderId="1" xfId="12" applyFont="1" applyFill="1" applyBorder="1" applyAlignment="1">
      <alignment horizontal="center" vertical="center" wrapText="1"/>
    </xf>
    <xf numFmtId="0" fontId="22" fillId="2" borderId="1" xfId="15" applyFont="1" applyFill="1" applyBorder="1" applyAlignment="1">
      <alignment horizontal="center" vertical="center" wrapText="1"/>
    </xf>
    <xf numFmtId="0" fontId="32" fillId="2" borderId="1" xfId="12" applyFont="1" applyFill="1" applyBorder="1" applyAlignment="1">
      <alignment horizontal="center" vertical="center" wrapText="1"/>
    </xf>
    <xf numFmtId="0" fontId="32" fillId="2" borderId="1" xfId="11" applyFont="1" applyFill="1" applyBorder="1" applyAlignment="1">
      <alignment horizontal="center" vertical="center" wrapText="1"/>
    </xf>
    <xf numFmtId="0" fontId="46" fillId="2" borderId="1" xfId="12" applyFont="1" applyFill="1" applyBorder="1" applyAlignment="1">
      <alignment horizontal="center" vertical="center" wrapText="1"/>
    </xf>
    <xf numFmtId="0" fontId="46" fillId="2" borderId="1" xfId="15" applyFont="1" applyFill="1" applyBorder="1" applyAlignment="1">
      <alignment horizontal="left" vertical="center" wrapText="1"/>
    </xf>
    <xf numFmtId="2" fontId="46" fillId="2" borderId="1" xfId="15" applyNumberFormat="1" applyFont="1" applyFill="1" applyBorder="1" applyAlignment="1">
      <alignment horizontal="left" vertical="center" wrapText="1"/>
    </xf>
    <xf numFmtId="0" fontId="46" fillId="0" borderId="0" xfId="0" applyFont="1" applyFill="1" applyAlignment="1">
      <alignment vertical="top"/>
    </xf>
    <xf numFmtId="0" fontId="52" fillId="0" borderId="0" xfId="0" applyFont="1" applyFill="1" applyAlignment="1">
      <alignment vertical="top"/>
    </xf>
    <xf numFmtId="0" fontId="53" fillId="0" borderId="0" xfId="0" applyFont="1" applyFill="1" applyAlignment="1">
      <alignment vertical="top"/>
    </xf>
    <xf numFmtId="0" fontId="54" fillId="0" borderId="6" xfId="0" applyFont="1" applyFill="1" applyBorder="1" applyAlignment="1"/>
    <xf numFmtId="0" fontId="54" fillId="0" borderId="0" xfId="0" applyFont="1" applyFill="1" applyBorder="1" applyAlignment="1"/>
    <xf numFmtId="167" fontId="52" fillId="0" borderId="0" xfId="0" applyNumberFormat="1" applyFont="1" applyFill="1" applyAlignment="1">
      <alignment vertical="top"/>
    </xf>
    <xf numFmtId="0" fontId="16" fillId="0" borderId="0" xfId="0" applyFont="1" applyFill="1" applyAlignment="1">
      <alignment vertical="top"/>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5" xfId="0" applyFont="1" applyFill="1" applyBorder="1" applyAlignment="1">
      <alignment horizontal="center" vertical="top"/>
    </xf>
    <xf numFmtId="0" fontId="15" fillId="0" borderId="1" xfId="0" applyFont="1" applyFill="1" applyBorder="1" applyAlignment="1">
      <alignment horizontal="left" vertical="top" wrapText="1" shrinkToFit="1"/>
    </xf>
    <xf numFmtId="0" fontId="17" fillId="0" borderId="1" xfId="0" applyFont="1" applyFill="1" applyBorder="1" applyAlignment="1">
      <alignment horizontal="left" vertical="top" wrapText="1"/>
    </xf>
    <xf numFmtId="43" fontId="44" fillId="0" borderId="1" xfId="0" applyNumberFormat="1" applyFont="1" applyFill="1" applyBorder="1" applyAlignment="1">
      <alignment horizontal="left" vertical="center" wrapText="1"/>
    </xf>
    <xf numFmtId="0" fontId="44" fillId="0" borderId="1" xfId="0" quotePrefix="1" applyFont="1" applyFill="1" applyBorder="1" applyAlignment="1">
      <alignment horizontal="center" vertical="top" wrapText="1"/>
    </xf>
    <xf numFmtId="0" fontId="21" fillId="0" borderId="1" xfId="0" applyFont="1" applyFill="1" applyBorder="1" applyAlignment="1">
      <alignment vertical="top" wrapText="1"/>
    </xf>
    <xf numFmtId="0" fontId="21" fillId="0" borderId="2" xfId="0" applyFont="1" applyFill="1" applyBorder="1" applyAlignment="1">
      <alignment vertical="top" wrapText="1"/>
    </xf>
    <xf numFmtId="0" fontId="17" fillId="0" borderId="2" xfId="0" quotePrefix="1" applyFont="1" applyFill="1" applyBorder="1" applyAlignment="1">
      <alignment horizontal="center" vertical="center" wrapText="1"/>
    </xf>
    <xf numFmtId="167" fontId="17" fillId="0" borderId="2" xfId="0" quotePrefix="1" applyNumberFormat="1" applyFont="1" applyFill="1" applyBorder="1" applyAlignment="1">
      <alignment horizontal="center" vertical="center" wrapText="1"/>
    </xf>
    <xf numFmtId="0" fontId="33" fillId="0" borderId="1" xfId="0" quotePrefix="1" applyFont="1" applyFill="1" applyBorder="1" applyAlignment="1">
      <alignment horizontal="left" vertical="center" wrapText="1"/>
    </xf>
    <xf numFmtId="0" fontId="44" fillId="0" borderId="1" xfId="0" quotePrefix="1" applyFont="1" applyFill="1" applyBorder="1" applyAlignment="1">
      <alignment horizontal="left" vertical="center" wrapText="1"/>
    </xf>
    <xf numFmtId="43" fontId="44" fillId="0" borderId="1" xfId="0" quotePrefix="1" applyNumberFormat="1" applyFont="1" applyFill="1" applyBorder="1" applyAlignment="1">
      <alignment horizontal="left" vertical="center" wrapText="1"/>
    </xf>
    <xf numFmtId="0" fontId="44" fillId="0" borderId="1" xfId="0" quotePrefix="1" applyFont="1" applyFill="1" applyBorder="1" applyAlignment="1">
      <alignment horizontal="center" vertical="center" wrapText="1"/>
    </xf>
    <xf numFmtId="0" fontId="44" fillId="0" borderId="1" xfId="0" quotePrefix="1" applyFont="1" applyFill="1" applyBorder="1" applyAlignment="1">
      <alignment horizontal="left" vertical="top" wrapText="1"/>
    </xf>
    <xf numFmtId="43" fontId="44" fillId="0" borderId="1" xfId="0" quotePrefix="1" applyNumberFormat="1" applyFont="1" applyFill="1" applyBorder="1" applyAlignment="1">
      <alignment horizontal="left" vertical="top" wrapText="1"/>
    </xf>
    <xf numFmtId="0" fontId="17" fillId="0" borderId="1" xfId="0" quotePrefix="1"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quotePrefix="1" applyFont="1" applyFill="1" applyBorder="1" applyAlignment="1">
      <alignment horizontal="center" vertical="top" wrapText="1"/>
    </xf>
    <xf numFmtId="0" fontId="46" fillId="0" borderId="0" xfId="13" applyFont="1" applyFill="1"/>
    <xf numFmtId="0" fontId="52" fillId="2" borderId="1" xfId="15" applyFont="1" applyFill="1" applyBorder="1" applyAlignment="1">
      <alignment horizontal="left" vertical="center" wrapText="1"/>
    </xf>
    <xf numFmtId="2" fontId="52" fillId="2" borderId="1" xfId="15" applyNumberFormat="1" applyFont="1" applyFill="1" applyBorder="1" applyAlignment="1">
      <alignment horizontal="left" vertical="center" wrapText="1"/>
    </xf>
    <xf numFmtId="0" fontId="44" fillId="0" borderId="1" xfId="0" applyFont="1" applyFill="1" applyBorder="1" applyAlignment="1">
      <alignment horizontal="right" vertical="top"/>
    </xf>
    <xf numFmtId="0" fontId="33" fillId="0" borderId="0" xfId="0" applyFont="1" applyFill="1" applyAlignment="1">
      <alignment vertical="top"/>
    </xf>
    <xf numFmtId="0" fontId="24" fillId="0" borderId="0" xfId="0" applyFont="1" applyFill="1" applyAlignment="1">
      <alignment vertical="top"/>
    </xf>
    <xf numFmtId="0" fontId="17" fillId="0" borderId="1" xfId="0" applyFont="1" applyFill="1" applyBorder="1" applyAlignment="1">
      <alignment horizontal="center" vertical="top"/>
    </xf>
    <xf numFmtId="167" fontId="17" fillId="0" borderId="1" xfId="1" applyNumberFormat="1" applyFont="1" applyFill="1" applyBorder="1" applyAlignment="1">
      <alignment horizontal="center" vertical="top"/>
    </xf>
    <xf numFmtId="168" fontId="17" fillId="0" borderId="1" xfId="1" applyNumberFormat="1" applyFont="1" applyFill="1" applyBorder="1" applyAlignment="1">
      <alignment horizontal="center" vertical="top"/>
    </xf>
    <xf numFmtId="2" fontId="17" fillId="0" borderId="1" xfId="0" applyNumberFormat="1" applyFont="1" applyFill="1" applyBorder="1" applyAlignment="1">
      <alignment horizontal="center" vertical="top"/>
    </xf>
    <xf numFmtId="167" fontId="52" fillId="0" borderId="0" xfId="0" applyNumberFormat="1" applyFont="1" applyFill="1" applyBorder="1" applyAlignment="1">
      <alignment horizontal="right" vertical="top"/>
    </xf>
    <xf numFmtId="166" fontId="49" fillId="0" borderId="0" xfId="0" applyNumberFormat="1" applyFont="1" applyFill="1" applyAlignment="1">
      <alignment vertical="top"/>
    </xf>
    <xf numFmtId="167" fontId="12" fillId="0" borderId="0" xfId="0" applyNumberFormat="1" applyFont="1" applyFill="1" applyAlignment="1">
      <alignment vertical="top"/>
    </xf>
    <xf numFmtId="167" fontId="20" fillId="0" borderId="1" xfId="1" applyNumberFormat="1" applyFont="1" applyFill="1" applyBorder="1" applyAlignment="1">
      <alignment vertical="top"/>
    </xf>
    <xf numFmtId="167" fontId="20" fillId="0" borderId="2" xfId="0" quotePrefix="1" applyNumberFormat="1" applyFont="1" applyFill="1" applyBorder="1" applyAlignment="1">
      <alignment horizontal="center" vertical="center" wrapText="1"/>
    </xf>
    <xf numFmtId="0" fontId="13" fillId="0" borderId="1" xfId="9" applyFont="1" applyFill="1" applyBorder="1" applyAlignment="1">
      <alignment horizontal="center" vertical="top" wrapText="1"/>
    </xf>
    <xf numFmtId="167" fontId="55" fillId="0" borderId="1" xfId="1" applyNumberFormat="1" applyFont="1" applyFill="1" applyBorder="1" applyAlignment="1">
      <alignment vertical="top"/>
    </xf>
    <xf numFmtId="167" fontId="16" fillId="0" borderId="0" xfId="0" applyNumberFormat="1" applyFont="1" applyFill="1" applyAlignment="1">
      <alignment vertical="top"/>
    </xf>
    <xf numFmtId="165" fontId="36" fillId="0" borderId="1" xfId="1" applyNumberFormat="1" applyFont="1" applyFill="1" applyBorder="1" applyAlignment="1">
      <alignment horizontal="right" vertical="top" wrapText="1"/>
    </xf>
    <xf numFmtId="165" fontId="41" fillId="0" borderId="1" xfId="1" applyNumberFormat="1" applyFont="1" applyFill="1" applyBorder="1" applyAlignment="1">
      <alignment horizontal="right" vertical="top" wrapText="1"/>
    </xf>
    <xf numFmtId="165" fontId="13" fillId="0" borderId="1" xfId="1" applyNumberFormat="1" applyFont="1" applyFill="1" applyBorder="1" applyAlignment="1">
      <alignment vertical="top" wrapText="1"/>
    </xf>
    <xf numFmtId="0" fontId="56" fillId="0" borderId="1" xfId="0" applyFont="1" applyFill="1" applyBorder="1"/>
    <xf numFmtId="0" fontId="56" fillId="0" borderId="0" xfId="0" applyFont="1" applyFill="1"/>
    <xf numFmtId="0" fontId="0" fillId="0" borderId="1" xfId="0" applyFill="1" applyBorder="1" applyAlignment="1">
      <alignment horizontal="center"/>
    </xf>
    <xf numFmtId="0" fontId="0" fillId="0" borderId="1" xfId="0" applyFill="1" applyBorder="1"/>
    <xf numFmtId="1" fontId="0" fillId="0" borderId="1" xfId="0" applyNumberFormat="1" applyFill="1" applyBorder="1"/>
    <xf numFmtId="167" fontId="44" fillId="0" borderId="0" xfId="0" applyNumberFormat="1" applyFont="1" applyFill="1" applyAlignment="1">
      <alignment vertical="top"/>
    </xf>
    <xf numFmtId="167" fontId="0" fillId="0" borderId="0" xfId="0" applyNumberFormat="1" applyFill="1"/>
    <xf numFmtId="165" fontId="22" fillId="2" borderId="1" xfId="1" applyNumberFormat="1" applyFont="1" applyFill="1" applyBorder="1" applyAlignment="1">
      <alignment horizontal="center" vertical="center"/>
    </xf>
    <xf numFmtId="165" fontId="46" fillId="2" borderId="0" xfId="1" applyNumberFormat="1" applyFont="1" applyFill="1"/>
    <xf numFmtId="165" fontId="22" fillId="2" borderId="0" xfId="1" applyNumberFormat="1" applyFont="1" applyFill="1"/>
    <xf numFmtId="43" fontId="0" fillId="0" borderId="0" xfId="1" applyFont="1" applyFill="1"/>
    <xf numFmtId="43" fontId="56" fillId="0" borderId="1" xfId="1" applyFont="1" applyFill="1" applyBorder="1"/>
    <xf numFmtId="0" fontId="34" fillId="0" borderId="0" xfId="0" applyFont="1" applyFill="1" applyAlignment="1">
      <alignment vertical="top"/>
    </xf>
    <xf numFmtId="0" fontId="44" fillId="0" borderId="0" xfId="0" applyFont="1" applyFill="1" applyAlignment="1">
      <alignment vertical="top"/>
    </xf>
    <xf numFmtId="0" fontId="54" fillId="0" borderId="0" xfId="0" applyFont="1" applyFill="1" applyAlignment="1">
      <alignment vertical="top"/>
    </xf>
    <xf numFmtId="0" fontId="55" fillId="0" borderId="6" xfId="0" applyFont="1" applyFill="1" applyBorder="1" applyAlignment="1">
      <alignment horizontal="center" vertical="center" wrapText="1"/>
    </xf>
    <xf numFmtId="0" fontId="30" fillId="0" borderId="0" xfId="0" applyFont="1" applyFill="1"/>
    <xf numFmtId="0" fontId="57" fillId="0" borderId="0" xfId="0" applyFont="1"/>
    <xf numFmtId="167" fontId="52" fillId="0" borderId="0" xfId="1" applyNumberFormat="1" applyFont="1" applyFill="1" applyAlignment="1">
      <alignment horizontal="center" vertical="top"/>
    </xf>
    <xf numFmtId="0" fontId="0" fillId="0" borderId="0" xfId="0" applyFill="1" applyBorder="1"/>
    <xf numFmtId="165" fontId="0" fillId="0" borderId="0" xfId="1" applyNumberFormat="1" applyFont="1"/>
    <xf numFmtId="165" fontId="0" fillId="0" borderId="0" xfId="0" applyNumberFormat="1" applyFont="1"/>
    <xf numFmtId="170" fontId="0" fillId="0" borderId="0" xfId="0" applyNumberFormat="1" applyFont="1"/>
    <xf numFmtId="165" fontId="46" fillId="2" borderId="0" xfId="13" applyNumberFormat="1" applyFont="1" applyFill="1"/>
    <xf numFmtId="0" fontId="23" fillId="0" borderId="6" xfId="0" applyFont="1" applyFill="1" applyBorder="1" applyAlignment="1">
      <alignment vertical="center" wrapText="1"/>
    </xf>
    <xf numFmtId="0" fontId="21" fillId="0" borderId="0" xfId="0" applyFont="1" applyFill="1" applyBorder="1" applyAlignment="1">
      <alignment vertical="center" wrapText="1"/>
    </xf>
    <xf numFmtId="165" fontId="18" fillId="0" borderId="1" xfId="1" applyNumberFormat="1" applyFont="1" applyFill="1" applyBorder="1" applyAlignment="1">
      <alignment horizontal="center"/>
    </xf>
    <xf numFmtId="165" fontId="18" fillId="0" borderId="0" xfId="1" applyNumberFormat="1" applyFont="1" applyFill="1" applyAlignment="1">
      <alignment horizontal="center"/>
    </xf>
    <xf numFmtId="0" fontId="17" fillId="0" borderId="2"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top" wrapText="1"/>
    </xf>
    <xf numFmtId="169" fontId="17" fillId="0" borderId="1" xfId="0" applyNumberFormat="1" applyFont="1" applyFill="1" applyBorder="1" applyAlignment="1">
      <alignment horizontal="center" vertical="center" wrapText="1"/>
    </xf>
    <xf numFmtId="167" fontId="52" fillId="0" borderId="0" xfId="1" applyNumberFormat="1" applyFont="1" applyFill="1" applyAlignment="1">
      <alignment horizontal="center" vertical="top"/>
    </xf>
    <xf numFmtId="0" fontId="17" fillId="0" borderId="2" xfId="0" quotePrefix="1" applyFont="1" applyFill="1" applyBorder="1" applyAlignment="1">
      <alignment horizontal="left" vertical="center" wrapText="1"/>
    </xf>
    <xf numFmtId="165" fontId="36" fillId="0" borderId="1" xfId="1" applyNumberFormat="1" applyFont="1" applyFill="1" applyBorder="1" applyAlignment="1">
      <alignment horizontal="center" vertical="center" wrapText="1"/>
    </xf>
    <xf numFmtId="0" fontId="36" fillId="0" borderId="3" xfId="9" applyFont="1" applyFill="1" applyBorder="1" applyAlignment="1">
      <alignment horizontal="center" vertical="center" wrapText="1"/>
    </xf>
    <xf numFmtId="0" fontId="36" fillId="0" borderId="2" xfId="9" applyFont="1" applyFill="1" applyBorder="1" applyAlignment="1">
      <alignment horizontal="center" vertical="center" wrapText="1"/>
    </xf>
    <xf numFmtId="165" fontId="36" fillId="0" borderId="2" xfId="1" applyNumberFormat="1" applyFont="1" applyFill="1" applyBorder="1" applyAlignment="1">
      <alignment horizontal="center" vertical="center" wrapText="1"/>
    </xf>
    <xf numFmtId="0" fontId="18" fillId="0" borderId="1" xfId="0" applyFont="1" applyFill="1" applyBorder="1" applyAlignment="1">
      <alignment horizontal="center" wrapText="1"/>
    </xf>
    <xf numFmtId="43" fontId="18" fillId="0" borderId="1" xfId="1" applyFont="1" applyFill="1" applyBorder="1" applyAlignment="1">
      <alignment horizontal="center" wrapText="1"/>
    </xf>
    <xf numFmtId="0" fontId="18" fillId="0" borderId="3" xfId="0" applyFont="1" applyFill="1" applyBorder="1" applyAlignment="1">
      <alignment horizontal="center"/>
    </xf>
    <xf numFmtId="0" fontId="17" fillId="0" borderId="2" xfId="0" applyFont="1" applyFill="1" applyBorder="1" applyAlignment="1">
      <alignment vertical="center"/>
    </xf>
    <xf numFmtId="0" fontId="17" fillId="0" borderId="2" xfId="0" quotePrefix="1" applyFont="1" applyFill="1" applyBorder="1" applyAlignment="1">
      <alignment vertical="center" wrapText="1"/>
    </xf>
    <xf numFmtId="0" fontId="44" fillId="0" borderId="7" xfId="0" applyFont="1" applyFill="1" applyBorder="1" applyAlignment="1">
      <alignment horizontal="center" vertical="top"/>
    </xf>
    <xf numFmtId="0" fontId="58" fillId="0" borderId="2" xfId="0" applyFont="1" applyFill="1" applyBorder="1" applyAlignment="1">
      <alignment horizontal="left" vertical="top" wrapText="1" shrinkToFit="1"/>
    </xf>
    <xf numFmtId="0" fontId="17" fillId="2" borderId="2" xfId="0" applyFont="1" applyFill="1" applyBorder="1" applyAlignment="1">
      <alignment horizontal="left" vertical="top" wrapText="1"/>
    </xf>
    <xf numFmtId="0" fontId="17" fillId="2" borderId="2" xfId="0" applyFont="1" applyFill="1" applyBorder="1" applyAlignment="1">
      <alignment horizontal="center" vertical="top"/>
    </xf>
    <xf numFmtId="167" fontId="17" fillId="2" borderId="1" xfId="1" applyNumberFormat="1" applyFont="1" applyFill="1" applyBorder="1" applyAlignment="1">
      <alignment vertical="top"/>
    </xf>
    <xf numFmtId="43" fontId="44" fillId="2" borderId="1" xfId="0" applyNumberFormat="1" applyFont="1" applyFill="1" applyBorder="1" applyAlignment="1">
      <alignment horizontal="left" vertical="center" wrapText="1"/>
    </xf>
    <xf numFmtId="168" fontId="44" fillId="2" borderId="1" xfId="0" quotePrefix="1" applyNumberFormat="1" applyFont="1" applyFill="1" applyBorder="1" applyAlignment="1">
      <alignment horizontal="center" vertical="top" wrapText="1"/>
    </xf>
    <xf numFmtId="167" fontId="55" fillId="2" borderId="1" xfId="1" applyNumberFormat="1" applyFont="1" applyFill="1" applyBorder="1" applyAlignment="1">
      <alignment vertical="top"/>
    </xf>
    <xf numFmtId="0" fontId="44" fillId="2" borderId="1" xfId="0" applyFont="1" applyFill="1" applyBorder="1" applyAlignment="1">
      <alignment horizontal="center" vertical="top"/>
    </xf>
    <xf numFmtId="167" fontId="16" fillId="2" borderId="0" xfId="0" applyNumberFormat="1" applyFont="1" applyFill="1" applyAlignment="1">
      <alignment vertical="top"/>
    </xf>
    <xf numFmtId="0" fontId="44" fillId="2" borderId="1" xfId="0" applyFont="1" applyFill="1" applyBorder="1" applyAlignment="1">
      <alignment horizontal="left" vertical="center" wrapText="1"/>
    </xf>
    <xf numFmtId="0" fontId="44" fillId="2" borderId="1" xfId="0" quotePrefix="1" applyFont="1" applyFill="1" applyBorder="1" applyAlignment="1">
      <alignment horizontal="center" vertical="top" wrapText="1"/>
    </xf>
    <xf numFmtId="0" fontId="24" fillId="2" borderId="0" xfId="0" applyFont="1" applyFill="1" applyAlignment="1">
      <alignment vertical="top"/>
    </xf>
    <xf numFmtId="43" fontId="44" fillId="2" borderId="1" xfId="0" quotePrefix="1"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1" fontId="3" fillId="2" borderId="1" xfId="0" applyNumberFormat="1" applyFont="1" applyFill="1" applyBorder="1" applyAlignment="1">
      <alignment horizontal="center" vertical="center"/>
    </xf>
    <xf numFmtId="3" fontId="31" fillId="2" borderId="0" xfId="0" applyNumberFormat="1" applyFont="1" applyFill="1"/>
    <xf numFmtId="0" fontId="31" fillId="2" borderId="0" xfId="0" applyFont="1" applyFill="1"/>
    <xf numFmtId="0" fontId="59"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3" fontId="6" fillId="0" borderId="1" xfId="0" applyNumberFormat="1" applyFont="1" applyFill="1" applyBorder="1"/>
    <xf numFmtId="3" fontId="6" fillId="0" borderId="1" xfId="0" applyNumberFormat="1" applyFont="1" applyFill="1" applyBorder="1" applyAlignment="1">
      <alignment vertical="center"/>
    </xf>
    <xf numFmtId="0" fontId="60" fillId="0" borderId="0" xfId="0" applyFont="1"/>
    <xf numFmtId="0" fontId="5" fillId="2" borderId="1" xfId="0" applyFont="1" applyFill="1" applyBorder="1" applyAlignment="1">
      <alignment horizontal="justify" vertical="center" wrapText="1"/>
    </xf>
    <xf numFmtId="0" fontId="3" fillId="2" borderId="1" xfId="0" applyFont="1" applyFill="1" applyBorder="1" applyAlignment="1">
      <alignment horizontal="center" vertical="center"/>
    </xf>
    <xf numFmtId="3" fontId="3" fillId="2" borderId="1" xfId="0" applyNumberFormat="1" applyFont="1" applyFill="1" applyBorder="1" applyAlignment="1">
      <alignment vertical="center"/>
    </xf>
    <xf numFmtId="3" fontId="3" fillId="2" borderId="1" xfId="0" applyNumberFormat="1" applyFont="1" applyFill="1" applyBorder="1" applyAlignment="1">
      <alignment horizontal="right" vertical="center"/>
    </xf>
    <xf numFmtId="0" fontId="0" fillId="2" borderId="0" xfId="0" applyFont="1" applyFill="1"/>
    <xf numFmtId="0" fontId="6" fillId="2" borderId="1" xfId="0" applyFont="1" applyFill="1" applyBorder="1" applyAlignment="1">
      <alignment horizontal="center" vertical="center" wrapText="1"/>
    </xf>
    <xf numFmtId="0" fontId="59" fillId="2" borderId="1" xfId="0" applyFont="1" applyFill="1" applyBorder="1" applyAlignment="1">
      <alignment horizontal="justify" vertical="center" wrapText="1"/>
    </xf>
    <xf numFmtId="0" fontId="6" fillId="2" borderId="1" xfId="0" applyFont="1" applyFill="1" applyBorder="1" applyAlignment="1">
      <alignment horizontal="center" vertical="center"/>
    </xf>
    <xf numFmtId="3" fontId="6" fillId="2" borderId="1" xfId="0" applyNumberFormat="1" applyFont="1" applyFill="1" applyBorder="1"/>
    <xf numFmtId="3" fontId="6" fillId="2" borderId="1" xfId="0" applyNumberFormat="1" applyFont="1" applyFill="1" applyBorder="1" applyAlignment="1">
      <alignment horizontal="right" vertical="center"/>
    </xf>
    <xf numFmtId="3" fontId="0" fillId="2" borderId="0" xfId="0" applyNumberFormat="1" applyFont="1" applyFill="1"/>
    <xf numFmtId="3" fontId="9" fillId="2" borderId="1" xfId="0" applyNumberFormat="1" applyFont="1" applyFill="1" applyBorder="1" applyAlignment="1">
      <alignment vertical="center"/>
    </xf>
    <xf numFmtId="0" fontId="61" fillId="0" borderId="1" xfId="0" applyFont="1" applyFill="1" applyBorder="1" applyAlignment="1">
      <alignment horizontal="center" vertical="center" wrapText="1"/>
    </xf>
    <xf numFmtId="0" fontId="61" fillId="0" borderId="1" xfId="0" applyFont="1" applyFill="1" applyBorder="1" applyAlignment="1">
      <alignment horizontal="left" vertical="center" wrapText="1"/>
    </xf>
    <xf numFmtId="3" fontId="63" fillId="0" borderId="0" xfId="0" applyNumberFormat="1" applyFont="1"/>
    <xf numFmtId="0" fontId="63" fillId="0" borderId="0" xfId="0" applyFont="1"/>
    <xf numFmtId="0" fontId="61" fillId="0" borderId="3" xfId="0" applyFont="1" applyFill="1" applyBorder="1" applyAlignment="1">
      <alignment horizontal="left" vertical="center" wrapText="1"/>
    </xf>
    <xf numFmtId="3" fontId="61" fillId="0" borderId="1" xfId="0" applyNumberFormat="1" applyFont="1" applyFill="1" applyBorder="1" applyAlignment="1">
      <alignment vertical="center"/>
    </xf>
    <xf numFmtId="0" fontId="62" fillId="0" borderId="1" xfId="0" applyFont="1" applyBorder="1"/>
    <xf numFmtId="165" fontId="30" fillId="0" borderId="1" xfId="1" applyNumberFormat="1" applyFont="1" applyFill="1" applyBorder="1" applyAlignment="1">
      <alignment horizontal="center" vertical="center" wrapText="1"/>
    </xf>
    <xf numFmtId="0" fontId="30" fillId="2" borderId="1" xfId="9" applyFont="1" applyFill="1" applyBorder="1" applyAlignment="1">
      <alignment horizontal="center" vertical="top" wrapText="1"/>
    </xf>
    <xf numFmtId="0" fontId="30" fillId="2" borderId="3" xfId="9" applyFont="1" applyFill="1" applyBorder="1" applyAlignment="1">
      <alignment horizontal="center" vertical="top" wrapText="1"/>
    </xf>
    <xf numFmtId="165" fontId="30" fillId="2" borderId="1" xfId="1" applyNumberFormat="1" applyFont="1" applyFill="1" applyBorder="1" applyAlignment="1">
      <alignment horizontal="right" vertical="top" wrapText="1"/>
    </xf>
    <xf numFmtId="165" fontId="30" fillId="2" borderId="1" xfId="1" applyNumberFormat="1" applyFont="1" applyFill="1" applyBorder="1" applyAlignment="1">
      <alignment horizontal="center" vertical="center" wrapText="1"/>
    </xf>
    <xf numFmtId="0" fontId="38" fillId="2" borderId="0" xfId="9" applyFont="1" applyFill="1"/>
    <xf numFmtId="0" fontId="39" fillId="2" borderId="1" xfId="9" quotePrefix="1" applyFont="1" applyFill="1" applyBorder="1" applyAlignment="1">
      <alignment vertical="top"/>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left" vertical="center" wrapText="1"/>
    </xf>
    <xf numFmtId="3" fontId="12" fillId="0" borderId="1" xfId="0" applyNumberFormat="1" applyFont="1" applyFill="1" applyBorder="1" applyAlignment="1">
      <alignment horizontal="right" vertical="center"/>
    </xf>
    <xf numFmtId="0" fontId="25" fillId="2" borderId="0" xfId="0" applyFont="1" applyFill="1"/>
    <xf numFmtId="0" fontId="36" fillId="2" borderId="1" xfId="9" applyFont="1" applyFill="1" applyBorder="1" applyAlignment="1">
      <alignment horizontal="center" vertical="top" wrapText="1"/>
    </xf>
    <xf numFmtId="0" fontId="13" fillId="2" borderId="1" xfId="9" quotePrefix="1" applyFont="1" applyFill="1" applyBorder="1" applyAlignment="1">
      <alignment vertical="top"/>
    </xf>
    <xf numFmtId="165" fontId="36" fillId="2" borderId="1" xfId="1" applyNumberFormat="1" applyFont="1" applyFill="1" applyBorder="1" applyAlignment="1">
      <alignment horizontal="center" vertical="center" wrapText="1"/>
    </xf>
    <xf numFmtId="165" fontId="46" fillId="2" borderId="1" xfId="1" applyNumberFormat="1" applyFont="1" applyFill="1" applyBorder="1"/>
    <xf numFmtId="43" fontId="46" fillId="2" borderId="1" xfId="1" applyNumberFormat="1" applyFont="1" applyFill="1" applyBorder="1"/>
    <xf numFmtId="0" fontId="52" fillId="2" borderId="0" xfId="13" applyFont="1" applyFill="1"/>
    <xf numFmtId="0" fontId="46" fillId="2" borderId="5" xfId="12" applyFont="1" applyFill="1" applyBorder="1" applyAlignment="1">
      <alignment horizontal="center" vertical="center" wrapText="1"/>
    </xf>
    <xf numFmtId="0" fontId="11" fillId="0" borderId="1" xfId="0" applyFont="1" applyFill="1" applyBorder="1"/>
    <xf numFmtId="167" fontId="20" fillId="0" borderId="1" xfId="0" quotePrefix="1" applyNumberFormat="1" applyFont="1" applyFill="1" applyBorder="1" applyAlignment="1">
      <alignment horizontal="center" vertical="top" wrapText="1"/>
    </xf>
    <xf numFmtId="0" fontId="44" fillId="0" borderId="2" xfId="0" quotePrefix="1" applyFont="1" applyFill="1" applyBorder="1" applyAlignment="1">
      <alignment horizontal="center" vertical="center" wrapText="1"/>
    </xf>
    <xf numFmtId="0" fontId="16" fillId="0" borderId="1" xfId="0" applyFont="1" applyFill="1" applyBorder="1" applyAlignment="1">
      <alignment vertical="top" wrapText="1"/>
    </xf>
    <xf numFmtId="0" fontId="16" fillId="0" borderId="2" xfId="0" applyFont="1" applyFill="1" applyBorder="1" applyAlignment="1">
      <alignment vertical="top" wrapText="1"/>
    </xf>
    <xf numFmtId="167" fontId="20" fillId="2" borderId="1" xfId="1" applyNumberFormat="1" applyFont="1" applyFill="1" applyBorder="1" applyAlignment="1">
      <alignment vertical="top"/>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7" xfId="0" applyFont="1" applyFill="1" applyBorder="1" applyAlignment="1">
      <alignment horizontal="center" vertical="center"/>
    </xf>
    <xf numFmtId="0" fontId="44" fillId="0" borderId="5"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5" xfId="0" applyFont="1" applyFill="1" applyBorder="1" applyAlignment="1">
      <alignment horizontal="center" vertical="center"/>
    </xf>
    <xf numFmtId="0" fontId="44" fillId="0" borderId="2" xfId="0" quotePrefix="1" applyFont="1" applyFill="1" applyBorder="1" applyAlignment="1">
      <alignment horizontal="center" vertical="center" wrapText="1"/>
    </xf>
    <xf numFmtId="0" fontId="44" fillId="0" borderId="7" xfId="0" quotePrefix="1" applyFont="1" applyFill="1" applyBorder="1" applyAlignment="1">
      <alignment horizontal="center" vertical="center" wrapText="1"/>
    </xf>
    <xf numFmtId="0" fontId="64" fillId="0" borderId="1" xfId="0" applyFont="1" applyFill="1" applyBorder="1" applyAlignment="1">
      <alignment horizontal="center" vertical="center" wrapText="1"/>
    </xf>
    <xf numFmtId="0" fontId="64" fillId="0" borderId="1" xfId="0" applyFont="1" applyFill="1" applyBorder="1" applyAlignment="1">
      <alignment horizontal="left" vertical="center" wrapText="1"/>
    </xf>
    <xf numFmtId="0" fontId="65" fillId="0" borderId="1" xfId="0" applyFont="1" applyFill="1" applyBorder="1" applyAlignment="1">
      <alignment horizontal="center" vertical="center" wrapText="1"/>
    </xf>
    <xf numFmtId="3" fontId="65" fillId="0" borderId="1" xfId="0" applyNumberFormat="1" applyFont="1" applyFill="1" applyBorder="1" applyAlignment="1">
      <alignment horizontal="center" vertical="center" wrapText="1"/>
    </xf>
    <xf numFmtId="3" fontId="64" fillId="0" borderId="1" xfId="0" applyNumberFormat="1" applyFont="1" applyFill="1" applyBorder="1" applyAlignment="1">
      <alignment horizontal="right" vertical="center" wrapText="1"/>
    </xf>
    <xf numFmtId="3" fontId="64" fillId="0" borderId="1" xfId="0" applyNumberFormat="1" applyFont="1" applyFill="1" applyBorder="1" applyAlignment="1">
      <alignment horizontal="center" vertical="center" wrapText="1"/>
    </xf>
    <xf numFmtId="0" fontId="66" fillId="0" borderId="0" xfId="0" applyFont="1" applyFill="1"/>
    <xf numFmtId="0" fontId="61" fillId="0" borderId="1" xfId="0" applyFont="1" applyFill="1" applyBorder="1" applyAlignment="1">
      <alignment horizontal="center" vertical="center"/>
    </xf>
    <xf numFmtId="3" fontId="61" fillId="0" borderId="1" xfId="1" applyNumberFormat="1" applyFont="1" applyFill="1" applyBorder="1"/>
    <xf numFmtId="3" fontId="61" fillId="0" borderId="1" xfId="1" applyNumberFormat="1" applyFont="1" applyFill="1" applyBorder="1" applyAlignment="1">
      <alignment vertical="center"/>
    </xf>
    <xf numFmtId="3" fontId="61" fillId="0" borderId="1" xfId="0" applyNumberFormat="1" applyFont="1" applyFill="1" applyBorder="1" applyAlignment="1">
      <alignment vertical="center" wrapText="1"/>
    </xf>
    <xf numFmtId="0" fontId="67" fillId="0" borderId="1" xfId="0" applyFont="1" applyFill="1" applyBorder="1" applyAlignment="1">
      <alignment horizontal="left" vertical="center" wrapText="1"/>
    </xf>
    <xf numFmtId="0" fontId="67" fillId="0" borderId="1" xfId="0" applyFont="1" applyFill="1" applyBorder="1" applyAlignment="1">
      <alignment horizontal="center" vertical="center"/>
    </xf>
    <xf numFmtId="3" fontId="67" fillId="0" borderId="1" xfId="1" applyNumberFormat="1" applyFont="1" applyFill="1" applyBorder="1"/>
    <xf numFmtId="3" fontId="67" fillId="0" borderId="1" xfId="1" applyNumberFormat="1" applyFont="1" applyFill="1" applyBorder="1" applyAlignment="1">
      <alignment vertical="center"/>
    </xf>
    <xf numFmtId="3" fontId="67" fillId="0" borderId="1" xfId="0" applyNumberFormat="1" applyFont="1" applyFill="1" applyBorder="1" applyAlignment="1">
      <alignment vertical="center" wrapText="1"/>
    </xf>
    <xf numFmtId="3" fontId="61" fillId="0" borderId="1" xfId="0" applyNumberFormat="1" applyFont="1" applyFill="1" applyBorder="1"/>
    <xf numFmtId="3" fontId="64" fillId="0" borderId="1" xfId="0" applyNumberFormat="1" applyFont="1" applyFill="1" applyBorder="1" applyAlignment="1">
      <alignment vertical="center"/>
    </xf>
    <xf numFmtId="3" fontId="64" fillId="0" borderId="1" xfId="0" applyNumberFormat="1" applyFont="1" applyFill="1" applyBorder="1" applyAlignment="1">
      <alignment vertical="center" wrapText="1"/>
    </xf>
    <xf numFmtId="3" fontId="62" fillId="0" borderId="1" xfId="0" applyNumberFormat="1" applyFont="1" applyFill="1" applyBorder="1" applyAlignment="1">
      <alignment vertical="center"/>
    </xf>
    <xf numFmtId="3" fontId="61" fillId="0" borderId="1" xfId="0" applyNumberFormat="1" applyFont="1" applyFill="1" applyBorder="1" applyAlignment="1">
      <alignment horizontal="right" vertical="center" wrapText="1"/>
    </xf>
    <xf numFmtId="165" fontId="63" fillId="0" borderId="0" xfId="1" applyNumberFormat="1" applyFont="1"/>
    <xf numFmtId="0" fontId="61" fillId="0" borderId="3" xfId="0" applyFont="1" applyFill="1" applyBorder="1" applyAlignment="1">
      <alignment horizontal="left" vertical="top" wrapText="1"/>
    </xf>
    <xf numFmtId="0" fontId="61" fillId="0" borderId="3" xfId="0" applyFont="1" applyFill="1" applyBorder="1" applyAlignment="1">
      <alignment horizontal="center" vertical="center"/>
    </xf>
    <xf numFmtId="3" fontId="61" fillId="0" borderId="3" xfId="0" applyNumberFormat="1" applyFont="1" applyFill="1" applyBorder="1"/>
    <xf numFmtId="0" fontId="67" fillId="0" borderId="1" xfId="0" applyFont="1" applyFill="1" applyBorder="1" applyAlignment="1">
      <alignment horizontal="center" vertical="center" wrapText="1"/>
    </xf>
    <xf numFmtId="0" fontId="67" fillId="0" borderId="3" xfId="0" applyFont="1" applyFill="1" applyBorder="1" applyAlignment="1">
      <alignment horizontal="left" vertical="center" wrapText="1"/>
    </xf>
    <xf numFmtId="3" fontId="67" fillId="0" borderId="1" xfId="0" applyNumberFormat="1" applyFont="1" applyFill="1" applyBorder="1" applyAlignment="1">
      <alignment vertical="center"/>
    </xf>
    <xf numFmtId="0" fontId="68" fillId="0" borderId="0" xfId="0" applyFont="1"/>
    <xf numFmtId="0" fontId="64" fillId="2" borderId="1" xfId="0" applyFont="1" applyFill="1" applyBorder="1" applyAlignment="1">
      <alignment horizontal="center" vertical="center" wrapText="1"/>
    </xf>
    <xf numFmtId="0" fontId="64" fillId="2" borderId="1" xfId="0" applyFont="1" applyFill="1" applyBorder="1" applyAlignment="1">
      <alignment horizontal="left" vertical="center" wrapText="1"/>
    </xf>
    <xf numFmtId="0" fontId="61" fillId="2" borderId="1" xfId="0" applyFont="1" applyFill="1" applyBorder="1" applyAlignment="1">
      <alignment horizontal="center" vertical="center"/>
    </xf>
    <xf numFmtId="3" fontId="61" fillId="2" borderId="1" xfId="0" applyNumberFormat="1" applyFont="1" applyFill="1" applyBorder="1"/>
    <xf numFmtId="3" fontId="64" fillId="2" borderId="1" xfId="0" applyNumberFormat="1" applyFont="1" applyFill="1" applyBorder="1" applyAlignment="1">
      <alignment horizontal="right" vertical="center"/>
    </xf>
    <xf numFmtId="0" fontId="62" fillId="2" borderId="1" xfId="0" applyFont="1" applyFill="1" applyBorder="1"/>
    <xf numFmtId="3" fontId="63" fillId="2" borderId="0" xfId="0" applyNumberFormat="1" applyFont="1" applyFill="1"/>
    <xf numFmtId="0" fontId="63" fillId="2" borderId="0" xfId="0" applyFont="1" applyFill="1"/>
    <xf numFmtId="0" fontId="61" fillId="2" borderId="1" xfId="0" applyFont="1" applyFill="1" applyBorder="1" applyAlignment="1">
      <alignment horizontal="center" vertical="center" wrapText="1"/>
    </xf>
    <xf numFmtId="0" fontId="61" fillId="2" borderId="1" xfId="0" applyFont="1" applyFill="1" applyBorder="1" applyAlignment="1">
      <alignment horizontal="left" vertical="center" wrapText="1"/>
    </xf>
    <xf numFmtId="3" fontId="61" fillId="2" borderId="1" xfId="0" applyNumberFormat="1" applyFont="1" applyFill="1" applyBorder="1" applyAlignment="1">
      <alignment horizontal="right" vertical="center" wrapText="1"/>
    </xf>
    <xf numFmtId="3" fontId="61" fillId="3" borderId="1" xfId="0" applyNumberFormat="1" applyFont="1" applyFill="1" applyBorder="1" applyAlignment="1">
      <alignment vertical="center"/>
    </xf>
    <xf numFmtId="0" fontId="61" fillId="0" borderId="1" xfId="0" applyFont="1" applyFill="1" applyBorder="1" applyAlignment="1"/>
    <xf numFmtId="0" fontId="69" fillId="0" borderId="0" xfId="0" applyFont="1" applyFill="1"/>
    <xf numFmtId="0" fontId="63" fillId="0" borderId="0" xfId="0" applyFont="1" applyFill="1"/>
    <xf numFmtId="0" fontId="63" fillId="0" borderId="0" xfId="0" applyFont="1" applyFill="1" applyAlignment="1">
      <alignment horizontal="center" vertical="center"/>
    </xf>
    <xf numFmtId="3" fontId="63" fillId="0" borderId="0" xfId="0" applyNumberFormat="1" applyFont="1" applyFill="1"/>
    <xf numFmtId="0" fontId="70" fillId="0" borderId="1" xfId="0" applyFont="1" applyFill="1" applyBorder="1" applyAlignment="1">
      <alignment horizontal="left" vertical="center" wrapText="1"/>
    </xf>
    <xf numFmtId="0" fontId="52" fillId="0" borderId="0" xfId="0" applyFont="1" applyFill="1" applyAlignment="1">
      <alignment horizontal="center" vertical="top"/>
    </xf>
    <xf numFmtId="0" fontId="52" fillId="2" borderId="1" xfId="12" applyFont="1" applyFill="1" applyBorder="1" applyAlignment="1">
      <alignment horizontal="center" vertical="center" wrapText="1"/>
    </xf>
    <xf numFmtId="0" fontId="0" fillId="0" borderId="0" xfId="0"/>
    <xf numFmtId="0" fontId="22" fillId="2" borderId="1"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46" fillId="2" borderId="0" xfId="0" applyFont="1" applyFill="1" applyAlignment="1">
      <alignment horizontal="center" vertical="center"/>
    </xf>
    <xf numFmtId="0" fontId="46" fillId="2" borderId="0" xfId="0" applyFont="1" applyFill="1" applyAlignment="1">
      <alignment vertical="center"/>
    </xf>
    <xf numFmtId="0" fontId="46" fillId="2" borderId="0" xfId="0" applyFont="1" applyFill="1" applyAlignment="1">
      <alignment horizontal="left" vertical="center"/>
    </xf>
    <xf numFmtId="43" fontId="22" fillId="2" borderId="1" xfId="1" applyFont="1" applyFill="1" applyBorder="1" applyAlignment="1">
      <alignment horizontal="center" vertical="center" wrapText="1"/>
    </xf>
    <xf numFmtId="0" fontId="76" fillId="2" borderId="1" xfId="17" applyFont="1" applyFill="1" applyBorder="1" applyAlignment="1">
      <alignment horizontal="center" vertical="center" wrapText="1"/>
    </xf>
    <xf numFmtId="0" fontId="46" fillId="2" borderId="1" xfId="0" applyFont="1" applyFill="1" applyBorder="1" applyAlignment="1">
      <alignment horizontal="left" vertical="center" wrapText="1"/>
    </xf>
    <xf numFmtId="43" fontId="46" fillId="2" borderId="1" xfId="1" applyFont="1" applyFill="1" applyBorder="1" applyAlignment="1">
      <alignment horizontal="center" vertical="center" wrapText="1"/>
    </xf>
    <xf numFmtId="165" fontId="46" fillId="2" borderId="1" xfId="0" applyNumberFormat="1" applyFont="1" applyFill="1" applyBorder="1" applyAlignment="1">
      <alignment vertical="center"/>
    </xf>
    <xf numFmtId="0" fontId="52" fillId="2" borderId="1" xfId="0" applyFont="1" applyFill="1" applyBorder="1" applyAlignment="1">
      <alignment vertical="center" wrapText="1"/>
    </xf>
    <xf numFmtId="0" fontId="46" fillId="2" borderId="0" xfId="0" applyFont="1" applyFill="1" applyAlignment="1">
      <alignment horizontal="left" vertical="center" wrapText="1"/>
    </xf>
    <xf numFmtId="0" fontId="76" fillId="2" borderId="0" xfId="17" applyFont="1" applyFill="1" applyAlignment="1">
      <alignment horizontal="left" vertical="center"/>
    </xf>
    <xf numFmtId="43" fontId="46" fillId="2" borderId="0" xfId="1" applyFont="1" applyFill="1" applyAlignment="1">
      <alignment horizontal="left" vertical="center"/>
    </xf>
    <xf numFmtId="43" fontId="22" fillId="2" borderId="0" xfId="0" applyNumberFormat="1" applyFont="1" applyFill="1" applyAlignment="1">
      <alignment horizontal="left" vertical="center"/>
    </xf>
    <xf numFmtId="0" fontId="77" fillId="2" borderId="1" xfId="0" applyFont="1" applyFill="1" applyBorder="1" applyAlignment="1">
      <alignment horizontal="center" vertical="center" wrapText="1"/>
    </xf>
    <xf numFmtId="0" fontId="77" fillId="2" borderId="1" xfId="0" applyFont="1" applyFill="1" applyBorder="1" applyAlignment="1">
      <alignment vertical="center" wrapText="1"/>
    </xf>
    <xf numFmtId="0" fontId="77" fillId="2" borderId="1" xfId="0" applyFont="1" applyFill="1" applyBorder="1" applyAlignment="1">
      <alignment horizontal="left" vertical="center" wrapText="1"/>
    </xf>
    <xf numFmtId="43" fontId="77" fillId="2" borderId="1" xfId="1" applyFont="1" applyFill="1" applyBorder="1" applyAlignment="1">
      <alignment horizontal="center" vertical="center" wrapText="1"/>
    </xf>
    <xf numFmtId="165" fontId="77" fillId="2" borderId="1" xfId="0" applyNumberFormat="1" applyFont="1" applyFill="1" applyBorder="1" applyAlignment="1">
      <alignment vertical="center"/>
    </xf>
    <xf numFmtId="171" fontId="22" fillId="2" borderId="2" xfId="1" applyNumberFormat="1" applyFont="1" applyFill="1" applyBorder="1" applyAlignment="1">
      <alignment horizontal="center" vertical="center" wrapText="1"/>
    </xf>
    <xf numFmtId="171" fontId="46" fillId="2" borderId="0" xfId="1" applyNumberFormat="1" applyFont="1" applyFill="1" applyAlignment="1">
      <alignment horizontal="left" vertical="center"/>
    </xf>
    <xf numFmtId="0" fontId="22" fillId="0" borderId="1" xfId="0" applyFont="1" applyFill="1" applyBorder="1" applyAlignment="1">
      <alignment horizontal="center" vertical="center"/>
    </xf>
    <xf numFmtId="37" fontId="46" fillId="2" borderId="1" xfId="1" applyNumberFormat="1" applyFont="1" applyFill="1" applyBorder="1" applyAlignment="1">
      <alignment horizontal="center" vertical="center" wrapText="1"/>
    </xf>
    <xf numFmtId="37" fontId="77" fillId="2" borderId="1" xfId="1" applyNumberFormat="1" applyFont="1" applyFill="1" applyBorder="1" applyAlignment="1">
      <alignment horizontal="center" vertical="center" wrapText="1"/>
    </xf>
    <xf numFmtId="0" fontId="12" fillId="2" borderId="1" xfId="0" applyFont="1" applyFill="1" applyBorder="1" applyAlignment="1">
      <alignment horizontal="justify" vertical="center" wrapText="1"/>
    </xf>
    <xf numFmtId="165" fontId="52" fillId="0" borderId="0" xfId="1" applyNumberFormat="1" applyFont="1" applyFill="1" applyAlignment="1">
      <alignment vertical="top"/>
    </xf>
    <xf numFmtId="0" fontId="78" fillId="2" borderId="1" xfId="0" applyFont="1" applyFill="1" applyBorder="1" applyAlignment="1">
      <alignment vertical="center" wrapText="1"/>
    </xf>
    <xf numFmtId="0" fontId="75" fillId="2" borderId="9" xfId="0" applyFont="1" applyFill="1" applyBorder="1"/>
    <xf numFmtId="0" fontId="49" fillId="2" borderId="9" xfId="0" applyFont="1" applyFill="1" applyBorder="1" applyAlignment="1">
      <alignment horizontal="center" vertical="center"/>
    </xf>
    <xf numFmtId="0" fontId="74" fillId="2" borderId="9" xfId="0" applyFont="1" applyFill="1" applyBorder="1" applyAlignment="1">
      <alignment horizontal="center" vertical="center"/>
    </xf>
    <xf numFmtId="43" fontId="22" fillId="0" borderId="1" xfId="1" applyFont="1" applyFill="1" applyBorder="1" applyAlignment="1">
      <alignment horizontal="center" vertical="center" wrapText="1"/>
    </xf>
    <xf numFmtId="165" fontId="19" fillId="0" borderId="1" xfId="1" applyNumberFormat="1" applyFont="1" applyFill="1" applyBorder="1" applyAlignment="1">
      <alignment vertical="center"/>
    </xf>
    <xf numFmtId="0" fontId="79" fillId="0" borderId="0" xfId="9" applyFont="1" applyFill="1"/>
    <xf numFmtId="165" fontId="79" fillId="0" borderId="0" xfId="1" applyNumberFormat="1" applyFont="1" applyFill="1"/>
    <xf numFmtId="0" fontId="49" fillId="0" borderId="2" xfId="9" applyFont="1" applyFill="1" applyBorder="1" applyAlignment="1">
      <alignment horizontal="center" vertical="center" wrapText="1"/>
    </xf>
    <xf numFmtId="0" fontId="49" fillId="0" borderId="3" xfId="9" applyFont="1" applyFill="1" applyBorder="1" applyAlignment="1">
      <alignment horizontal="center" vertical="center" wrapText="1"/>
    </xf>
    <xf numFmtId="165" fontId="49" fillId="0" borderId="2" xfId="1" applyNumberFormat="1" applyFont="1" applyFill="1" applyBorder="1" applyAlignment="1">
      <alignment horizontal="center" vertical="center" wrapText="1"/>
    </xf>
    <xf numFmtId="165" fontId="49" fillId="0" borderId="1" xfId="1" applyNumberFormat="1" applyFont="1" applyFill="1" applyBorder="1" applyAlignment="1">
      <alignment horizontal="center" vertical="center" wrapText="1"/>
    </xf>
    <xf numFmtId="0" fontId="49" fillId="2" borderId="1" xfId="9" applyFont="1" applyFill="1" applyBorder="1" applyAlignment="1">
      <alignment horizontal="center" vertical="top" wrapText="1"/>
    </xf>
    <xf numFmtId="0" fontId="81" fillId="0" borderId="0" xfId="0" applyFont="1" applyFill="1"/>
    <xf numFmtId="167" fontId="79" fillId="0" borderId="0" xfId="0" applyNumberFormat="1" applyFont="1" applyFill="1"/>
    <xf numFmtId="0" fontId="80" fillId="0" borderId="0" xfId="0" applyFont="1" applyFill="1"/>
    <xf numFmtId="165" fontId="52" fillId="0" borderId="1" xfId="1" applyNumberFormat="1" applyFont="1" applyFill="1" applyBorder="1" applyAlignment="1">
      <alignment horizontal="right" vertical="top" wrapText="1"/>
    </xf>
    <xf numFmtId="0" fontId="79" fillId="0" borderId="0" xfId="0" applyFont="1" applyFill="1"/>
    <xf numFmtId="0" fontId="49" fillId="0" borderId="1" xfId="0" applyFont="1" applyFill="1" applyBorder="1" applyAlignment="1">
      <alignment horizontal="center" vertical="center"/>
    </xf>
    <xf numFmtId="0" fontId="49" fillId="0" borderId="1" xfId="0" applyFont="1" applyFill="1" applyBorder="1" applyAlignment="1">
      <alignment horizontal="center" vertical="center" wrapText="1"/>
    </xf>
    <xf numFmtId="0" fontId="52" fillId="0" borderId="1" xfId="0" applyFont="1" applyFill="1" applyBorder="1" applyAlignment="1">
      <alignment horizontal="center" vertical="top"/>
    </xf>
    <xf numFmtId="0" fontId="52" fillId="0" borderId="1" xfId="0" applyFont="1" applyFill="1" applyBorder="1" applyAlignment="1">
      <alignment horizontal="right" vertical="top"/>
    </xf>
    <xf numFmtId="0" fontId="49" fillId="0" borderId="1" xfId="0" applyFont="1" applyFill="1" applyBorder="1" applyAlignment="1">
      <alignment horizontal="center" vertical="top"/>
    </xf>
    <xf numFmtId="43" fontId="46" fillId="0" borderId="0" xfId="1" applyFont="1"/>
    <xf numFmtId="0" fontId="46" fillId="0" borderId="0" xfId="0" applyFont="1"/>
    <xf numFmtId="0" fontId="46" fillId="0" borderId="1" xfId="0" applyFont="1" applyBorder="1" applyAlignment="1">
      <alignment vertical="center"/>
    </xf>
    <xf numFmtId="43" fontId="46" fillId="0" borderId="1" xfId="1" applyFont="1" applyBorder="1" applyAlignment="1">
      <alignment vertical="center"/>
    </xf>
    <xf numFmtId="0" fontId="83" fillId="0" borderId="0" xfId="0" applyFont="1" applyBorder="1"/>
    <xf numFmtId="169" fontId="49" fillId="0" borderId="1" xfId="0" applyNumberFormat="1" applyFont="1" applyFill="1" applyBorder="1" applyAlignment="1">
      <alignment horizontal="center" vertical="center" wrapText="1"/>
    </xf>
    <xf numFmtId="0" fontId="49" fillId="0" borderId="1" xfId="0" applyFont="1" applyFill="1" applyBorder="1" applyAlignment="1">
      <alignment horizontal="left" vertical="center" wrapText="1" shrinkToFit="1"/>
    </xf>
    <xf numFmtId="0" fontId="49" fillId="0" borderId="1" xfId="0" applyFont="1" applyFill="1" applyBorder="1" applyAlignment="1">
      <alignment horizontal="left" vertical="top" wrapText="1" shrinkToFit="1"/>
    </xf>
    <xf numFmtId="0" fontId="49" fillId="0" borderId="1" xfId="0" applyFont="1" applyFill="1" applyBorder="1" applyAlignment="1">
      <alignment vertical="center" wrapText="1"/>
    </xf>
    <xf numFmtId="0" fontId="49" fillId="0" borderId="1" xfId="0" applyFont="1" applyFill="1" applyBorder="1" applyAlignment="1">
      <alignment vertical="top" wrapText="1"/>
    </xf>
    <xf numFmtId="167" fontId="49" fillId="0" borderId="1" xfId="0" quotePrefix="1" applyNumberFormat="1" applyFont="1" applyFill="1" applyBorder="1" applyAlignment="1">
      <alignment horizontal="center" vertical="center" wrapText="1"/>
    </xf>
    <xf numFmtId="167" fontId="52" fillId="0" borderId="1" xfId="0" quotePrefix="1" applyNumberFormat="1" applyFont="1" applyFill="1" applyBorder="1" applyAlignment="1">
      <alignment horizontal="center" vertical="center" wrapText="1"/>
    </xf>
    <xf numFmtId="0" fontId="52" fillId="0" borderId="1" xfId="0" applyFont="1" applyFill="1" applyBorder="1" applyAlignment="1">
      <alignment vertical="center" wrapText="1"/>
    </xf>
    <xf numFmtId="0" fontId="49" fillId="0" borderId="1" xfId="0" applyFont="1" applyFill="1" applyBorder="1" applyAlignment="1">
      <alignment horizontal="left" vertical="center" wrapText="1"/>
    </xf>
    <xf numFmtId="0" fontId="74" fillId="0" borderId="0" xfId="0" applyFont="1" applyFill="1" applyAlignment="1">
      <alignment vertical="top"/>
    </xf>
    <xf numFmtId="167" fontId="52" fillId="0" borderId="1" xfId="1" applyNumberFormat="1" applyFont="1" applyFill="1" applyBorder="1" applyAlignment="1">
      <alignment horizontal="center" vertical="top"/>
    </xf>
    <xf numFmtId="165" fontId="52" fillId="0" borderId="1" xfId="1" applyNumberFormat="1" applyFont="1" applyFill="1" applyBorder="1" applyAlignment="1">
      <alignment horizontal="center" vertical="top"/>
    </xf>
    <xf numFmtId="2" fontId="52" fillId="0" borderId="1" xfId="0" applyNumberFormat="1" applyFont="1" applyFill="1" applyBorder="1" applyAlignment="1">
      <alignment horizontal="center" vertical="top"/>
    </xf>
    <xf numFmtId="166" fontId="52" fillId="0" borderId="0" xfId="0" applyNumberFormat="1" applyFont="1" applyFill="1" applyAlignment="1">
      <alignment vertical="top"/>
    </xf>
    <xf numFmtId="0" fontId="52" fillId="2" borderId="1" xfId="9" quotePrefix="1" applyFont="1" applyFill="1" applyBorder="1" applyAlignment="1">
      <alignment vertical="top" wrapText="1"/>
    </xf>
    <xf numFmtId="0" fontId="52" fillId="2" borderId="1" xfId="9" applyFont="1" applyFill="1" applyBorder="1" applyAlignment="1">
      <alignment horizontal="center" vertical="top" wrapText="1"/>
    </xf>
    <xf numFmtId="165" fontId="49" fillId="2" borderId="1" xfId="1" applyNumberFormat="1" applyFont="1" applyFill="1" applyBorder="1" applyAlignment="1">
      <alignment horizontal="center" vertical="center" wrapText="1"/>
    </xf>
    <xf numFmtId="0" fontId="52" fillId="2" borderId="1" xfId="9" quotePrefix="1" applyFont="1" applyFill="1" applyBorder="1" applyAlignment="1">
      <alignment vertical="top"/>
    </xf>
    <xf numFmtId="0" fontId="52" fillId="0" borderId="1" xfId="9" applyFont="1" applyFill="1" applyBorder="1" applyAlignment="1">
      <alignment horizontal="center" vertical="top" wrapText="1"/>
    </xf>
    <xf numFmtId="165" fontId="52" fillId="0" borderId="1" xfId="1" applyNumberFormat="1" applyFont="1" applyFill="1" applyBorder="1" applyAlignment="1">
      <alignment horizontal="center" vertical="center" wrapText="1"/>
    </xf>
    <xf numFmtId="0" fontId="56" fillId="0" borderId="0" xfId="0" applyFont="1"/>
    <xf numFmtId="0" fontId="17" fillId="0" borderId="0" xfId="0" applyFont="1" applyFill="1" applyBorder="1" applyAlignment="1">
      <alignment vertical="center" wrapText="1"/>
    </xf>
    <xf numFmtId="0" fontId="42" fillId="0" borderId="0" xfId="0" applyFont="1" applyFill="1" applyBorder="1" applyAlignment="1">
      <alignment vertical="center" wrapText="1"/>
    </xf>
    <xf numFmtId="0" fontId="30" fillId="0" borderId="6" xfId="0" applyFont="1" applyFill="1" applyBorder="1" applyAlignment="1">
      <alignment horizontal="center" vertical="center" wrapText="1"/>
    </xf>
    <xf numFmtId="0" fontId="30" fillId="0" borderId="0" xfId="0" applyFont="1" applyFill="1" applyBorder="1" applyAlignment="1">
      <alignment vertical="center" wrapText="1"/>
    </xf>
    <xf numFmtId="0" fontId="57" fillId="0" borderId="0" xfId="0" applyFont="1" applyBorder="1"/>
    <xf numFmtId="0" fontId="19" fillId="0" borderId="1" xfId="0" applyFont="1" applyFill="1" applyBorder="1" applyAlignment="1">
      <alignment horizontal="center" vertical="center" wrapText="1"/>
    </xf>
    <xf numFmtId="3" fontId="49"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3" fontId="12" fillId="0" borderId="1" xfId="0" applyNumberFormat="1" applyFont="1" applyFill="1" applyBorder="1" applyAlignment="1">
      <alignment horizontal="center" vertical="center" wrapText="1"/>
    </xf>
    <xf numFmtId="165" fontId="19" fillId="0" borderId="1" xfId="1" applyNumberFormat="1" applyFont="1" applyFill="1" applyBorder="1" applyAlignment="1">
      <alignment horizontal="right" vertical="center" wrapText="1"/>
    </xf>
    <xf numFmtId="3" fontId="19"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3" fontId="12" fillId="0" borderId="1" xfId="0" applyNumberFormat="1" applyFont="1" applyFill="1" applyBorder="1" applyAlignment="1">
      <alignment vertical="center"/>
    </xf>
    <xf numFmtId="0" fontId="12" fillId="2" borderId="1" xfId="0" applyFont="1" applyFill="1" applyBorder="1" applyAlignment="1">
      <alignment horizontal="center" vertical="center"/>
    </xf>
    <xf numFmtId="165" fontId="12" fillId="2" borderId="1" xfId="1" applyNumberFormat="1" applyFont="1" applyFill="1" applyBorder="1" applyAlignment="1">
      <alignment horizontal="right" vertical="center"/>
    </xf>
    <xf numFmtId="0" fontId="12" fillId="2" borderId="1" xfId="0" applyFont="1" applyFill="1" applyBorder="1" applyAlignment="1">
      <alignment horizontal="center" vertical="center" wrapText="1"/>
    </xf>
    <xf numFmtId="3" fontId="56" fillId="0" borderId="0" xfId="0" applyNumberFormat="1" applyFont="1"/>
    <xf numFmtId="0" fontId="12" fillId="2" borderId="1" xfId="0" applyFont="1" applyFill="1" applyBorder="1" applyAlignment="1">
      <alignment horizontal="left" vertical="center" wrapText="1"/>
    </xf>
    <xf numFmtId="165" fontId="56" fillId="0" borderId="0" xfId="0" applyNumberFormat="1" applyFont="1"/>
    <xf numFmtId="165" fontId="19" fillId="2" borderId="1" xfId="1" applyNumberFormat="1" applyFont="1" applyFill="1" applyBorder="1" applyAlignment="1">
      <alignment horizontal="right" vertical="center"/>
    </xf>
    <xf numFmtId="165" fontId="12" fillId="2" borderId="1" xfId="1" applyNumberFormat="1" applyFont="1" applyFill="1" applyBorder="1" applyAlignment="1">
      <alignment horizontal="center" vertical="center" wrapText="1"/>
    </xf>
    <xf numFmtId="0" fontId="84" fillId="2" borderId="1" xfId="0" applyFont="1" applyFill="1" applyBorder="1" applyAlignment="1">
      <alignment horizontal="center" vertical="center" wrapText="1"/>
    </xf>
    <xf numFmtId="0" fontId="84" fillId="2" borderId="1" xfId="0" applyFont="1" applyFill="1" applyBorder="1" applyAlignment="1">
      <alignment horizontal="center" vertical="center"/>
    </xf>
    <xf numFmtId="3" fontId="84" fillId="2" borderId="1" xfId="0" applyNumberFormat="1" applyFont="1" applyFill="1" applyBorder="1"/>
    <xf numFmtId="3" fontId="84" fillId="2" borderId="1" xfId="0" applyNumberFormat="1" applyFont="1" applyFill="1" applyBorder="1" applyAlignment="1">
      <alignment horizontal="right" vertical="center"/>
    </xf>
    <xf numFmtId="165" fontId="84" fillId="2" borderId="1" xfId="1"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165" fontId="19" fillId="2" borderId="1" xfId="1" applyNumberFormat="1" applyFont="1" applyFill="1" applyBorder="1" applyAlignment="1">
      <alignment horizontal="center" vertical="center" wrapText="1"/>
    </xf>
    <xf numFmtId="3" fontId="12" fillId="0" borderId="1" xfId="0" applyNumberFormat="1" applyFont="1" applyFill="1" applyBorder="1" applyAlignment="1">
      <alignment horizontal="right" vertical="center" wrapText="1"/>
    </xf>
    <xf numFmtId="3" fontId="19" fillId="0" borderId="1" xfId="0" applyNumberFormat="1" applyFont="1" applyFill="1" applyBorder="1" applyAlignment="1">
      <alignment horizontal="right" vertical="center" wrapText="1"/>
    </xf>
    <xf numFmtId="165" fontId="19" fillId="0" borderId="1" xfId="1" applyNumberFormat="1" applyFont="1" applyFill="1" applyBorder="1" applyAlignment="1">
      <alignment horizontal="center" vertical="center" wrapText="1"/>
    </xf>
    <xf numFmtId="0" fontId="12" fillId="0" borderId="0" xfId="0" applyFont="1" applyFill="1"/>
    <xf numFmtId="0" fontId="56" fillId="0" borderId="0" xfId="0" applyFont="1" applyFill="1" applyAlignment="1">
      <alignment horizontal="center" vertical="center"/>
    </xf>
    <xf numFmtId="3" fontId="56" fillId="0" borderId="0" xfId="0" applyNumberFormat="1" applyFont="1" applyFill="1"/>
    <xf numFmtId="165" fontId="56" fillId="0" borderId="0" xfId="1" applyNumberFormat="1" applyFont="1" applyFill="1"/>
    <xf numFmtId="0" fontId="49" fillId="0" borderId="2" xfId="9" applyFont="1" applyFill="1" applyBorder="1" applyAlignment="1">
      <alignment horizontal="left" vertical="center" wrapText="1"/>
    </xf>
    <xf numFmtId="0" fontId="49" fillId="0" borderId="5" xfId="0" applyFont="1" applyFill="1" applyBorder="1" applyAlignment="1">
      <alignment horizontal="center" vertical="center"/>
    </xf>
    <xf numFmtId="0" fontId="19" fillId="0" borderId="1" xfId="0" applyFont="1" applyFill="1" applyBorder="1" applyAlignment="1">
      <alignment horizontal="center" vertical="center"/>
    </xf>
    <xf numFmtId="0" fontId="52" fillId="2" borderId="1" xfId="9" quotePrefix="1" applyFont="1" applyFill="1" applyBorder="1" applyAlignment="1">
      <alignment vertical="center" wrapText="1"/>
    </xf>
    <xf numFmtId="0" fontId="52" fillId="2" borderId="1" xfId="9" applyFont="1" applyFill="1" applyBorder="1" applyAlignment="1">
      <alignment horizontal="center" vertical="center" wrapText="1"/>
    </xf>
    <xf numFmtId="0" fontId="49" fillId="2" borderId="1" xfId="9" applyFont="1" applyFill="1" applyBorder="1" applyAlignment="1">
      <alignment vertical="center" wrapText="1"/>
    </xf>
    <xf numFmtId="165" fontId="52" fillId="2" borderId="3" xfId="9" applyNumberFormat="1" applyFont="1" applyFill="1" applyBorder="1" applyAlignment="1">
      <alignment vertical="center" wrapText="1"/>
    </xf>
    <xf numFmtId="165" fontId="52" fillId="2" borderId="1" xfId="1" applyNumberFormat="1" applyFont="1" applyFill="1" applyBorder="1" applyAlignment="1">
      <alignment vertical="center" wrapText="1"/>
    </xf>
    <xf numFmtId="165" fontId="49" fillId="2" borderId="1" xfId="1" applyNumberFormat="1" applyFont="1" applyFill="1" applyBorder="1" applyAlignment="1">
      <alignment vertical="center" wrapText="1"/>
    </xf>
    <xf numFmtId="0" fontId="75" fillId="2" borderId="1" xfId="9" applyFont="1" applyFill="1" applyBorder="1" applyAlignment="1">
      <alignment horizontal="center" vertical="top" wrapText="1"/>
    </xf>
    <xf numFmtId="43" fontId="46" fillId="0" borderId="0" xfId="0" applyNumberFormat="1" applyFont="1"/>
    <xf numFmtId="0" fontId="49" fillId="2" borderId="1" xfId="9" quotePrefix="1" applyFont="1" applyFill="1" applyBorder="1" applyAlignment="1">
      <alignment vertical="center" wrapText="1"/>
    </xf>
    <xf numFmtId="165" fontId="49" fillId="2" borderId="3" xfId="9" applyNumberFormat="1" applyFont="1" applyFill="1" applyBorder="1" applyAlignment="1">
      <alignment vertical="center" wrapText="1"/>
    </xf>
    <xf numFmtId="0" fontId="52" fillId="0" borderId="2" xfId="0" applyFont="1" applyFill="1" applyBorder="1" applyAlignment="1">
      <alignment horizontal="center" vertical="top" wrapText="1"/>
    </xf>
    <xf numFmtId="0" fontId="85" fillId="0" borderId="0" xfId="0" applyFont="1" applyAlignment="1">
      <alignment vertical="center" wrapText="1"/>
    </xf>
    <xf numFmtId="0" fontId="52" fillId="0" borderId="10" xfId="0" applyFont="1" applyFill="1" applyBorder="1" applyAlignment="1">
      <alignment horizontal="center" vertical="center" wrapText="1"/>
    </xf>
    <xf numFmtId="0" fontId="52" fillId="0" borderId="2" xfId="0" applyFont="1" applyFill="1" applyBorder="1" applyAlignment="1">
      <alignment horizontal="center" vertical="center" wrapText="1"/>
    </xf>
    <xf numFmtId="0" fontId="52" fillId="0" borderId="2" xfId="0" applyFont="1" applyFill="1" applyBorder="1" applyAlignment="1">
      <alignment horizontal="center" vertical="center"/>
    </xf>
    <xf numFmtId="0" fontId="52" fillId="0" borderId="0" xfId="0" applyFont="1" applyFill="1" applyAlignment="1">
      <alignment horizontal="center"/>
    </xf>
    <xf numFmtId="0" fontId="74" fillId="0" borderId="6" xfId="0" applyFont="1" applyFill="1" applyBorder="1" applyAlignment="1"/>
    <xf numFmtId="165" fontId="49" fillId="0" borderId="1" xfId="1" applyNumberFormat="1" applyFont="1" applyFill="1" applyBorder="1" applyAlignment="1">
      <alignment horizontal="center" vertical="center"/>
    </xf>
    <xf numFmtId="167" fontId="49" fillId="2" borderId="1" xfId="1" applyNumberFormat="1" applyFont="1" applyFill="1" applyBorder="1" applyAlignment="1">
      <alignment horizontal="center" vertical="center"/>
    </xf>
    <xf numFmtId="167" fontId="49" fillId="0" borderId="1" xfId="0" applyNumberFormat="1" applyFont="1" applyFill="1" applyBorder="1" applyAlignment="1">
      <alignment horizontal="center" vertical="center"/>
    </xf>
    <xf numFmtId="165" fontId="49" fillId="0" borderId="1" xfId="1" applyNumberFormat="1" applyFont="1" applyFill="1" applyBorder="1" applyAlignment="1">
      <alignment vertical="center"/>
    </xf>
    <xf numFmtId="167" fontId="52" fillId="0" borderId="1" xfId="0" applyNumberFormat="1" applyFont="1" applyFill="1" applyBorder="1" applyAlignment="1">
      <alignment vertical="top"/>
    </xf>
    <xf numFmtId="165" fontId="52" fillId="0" borderId="1" xfId="1" applyNumberFormat="1" applyFont="1" applyFill="1" applyBorder="1" applyAlignment="1">
      <alignment vertical="top"/>
    </xf>
    <xf numFmtId="165" fontId="18" fillId="0" borderId="1" xfId="1" applyNumberFormat="1" applyFont="1" applyBorder="1" applyAlignment="1">
      <alignment vertical="center"/>
    </xf>
    <xf numFmtId="167" fontId="52" fillId="0" borderId="1" xfId="0" applyNumberFormat="1" applyFont="1" applyFill="1" applyBorder="1" applyAlignment="1">
      <alignment horizontal="center" vertical="center"/>
    </xf>
    <xf numFmtId="165" fontId="52" fillId="0" borderId="1" xfId="1" applyNumberFormat="1" applyFont="1" applyFill="1" applyBorder="1" applyAlignment="1">
      <alignment horizontal="center" vertical="center"/>
    </xf>
    <xf numFmtId="167" fontId="52" fillId="0" borderId="1" xfId="0" applyNumberFormat="1" applyFont="1" applyFill="1" applyBorder="1" applyAlignment="1">
      <alignment horizontal="center" vertical="top"/>
    </xf>
    <xf numFmtId="0" fontId="52" fillId="0" borderId="11" xfId="0" applyFont="1" applyFill="1" applyBorder="1" applyAlignment="1">
      <alignment horizontal="center" vertical="center" wrapText="1"/>
    </xf>
    <xf numFmtId="0" fontId="49" fillId="0" borderId="2" xfId="0" applyFont="1" applyFill="1" applyBorder="1" applyAlignment="1">
      <alignment horizontal="center" vertical="center"/>
    </xf>
    <xf numFmtId="0" fontId="44" fillId="0" borderId="10" xfId="0" applyFont="1" applyBorder="1" applyAlignment="1">
      <alignment horizontal="center" vertical="center" wrapText="1"/>
    </xf>
    <xf numFmtId="0" fontId="52" fillId="0" borderId="2" xfId="0" applyFont="1" applyBorder="1" applyAlignment="1">
      <alignment horizontal="center" vertical="center" wrapText="1"/>
    </xf>
    <xf numFmtId="0" fontId="30" fillId="0" borderId="1" xfId="0" applyFont="1" applyBorder="1" applyAlignment="1">
      <alignment horizontal="center" vertical="center" wrapText="1"/>
    </xf>
    <xf numFmtId="165" fontId="74" fillId="0" borderId="1" xfId="1" applyNumberFormat="1" applyFont="1" applyFill="1" applyBorder="1" applyAlignment="1">
      <alignment vertical="top"/>
    </xf>
    <xf numFmtId="165" fontId="49" fillId="0" borderId="1" xfId="1" applyNumberFormat="1" applyFont="1" applyFill="1" applyBorder="1" applyAlignment="1">
      <alignment vertical="top"/>
    </xf>
    <xf numFmtId="0" fontId="52" fillId="0" borderId="1" xfId="0" applyFont="1" applyFill="1" applyBorder="1" applyAlignment="1">
      <alignment vertical="top"/>
    </xf>
    <xf numFmtId="0" fontId="21" fillId="0" borderId="3" xfId="0" applyFont="1" applyBorder="1" applyAlignment="1">
      <alignment vertical="center" wrapText="1"/>
    </xf>
    <xf numFmtId="0" fontId="21" fillId="0" borderId="4" xfId="0" applyFont="1" applyBorder="1" applyAlignment="1">
      <alignment vertical="center" wrapText="1"/>
    </xf>
    <xf numFmtId="0" fontId="87" fillId="2" borderId="1" xfId="9" applyFont="1" applyFill="1" applyBorder="1" applyAlignment="1">
      <alignment horizontal="center" vertical="center" wrapText="1"/>
    </xf>
    <xf numFmtId="0" fontId="78" fillId="2" borderId="1" xfId="9" quotePrefix="1" applyFont="1" applyFill="1" applyBorder="1" applyAlignment="1">
      <alignment vertical="center" wrapText="1"/>
    </xf>
    <xf numFmtId="165" fontId="3" fillId="0" borderId="1" xfId="1" applyNumberFormat="1" applyFont="1" applyFill="1" applyBorder="1" applyAlignment="1">
      <alignment horizontal="right" vertical="center" wrapText="1"/>
    </xf>
    <xf numFmtId="0" fontId="3" fillId="0" borderId="1" xfId="0" applyFont="1" applyFill="1" applyBorder="1" applyAlignment="1">
      <alignment horizontal="left" vertical="center"/>
    </xf>
    <xf numFmtId="0" fontId="74" fillId="0" borderId="0" xfId="0" applyFont="1" applyFill="1" applyBorder="1" applyAlignment="1">
      <alignment horizontal="center" vertical="center" wrapText="1"/>
    </xf>
    <xf numFmtId="0" fontId="88" fillId="0" borderId="0" xfId="0" applyFont="1"/>
    <xf numFmtId="0" fontId="46" fillId="0" borderId="1" xfId="0" applyFont="1" applyBorder="1" applyAlignment="1">
      <alignment horizontal="center" vertical="center" wrapText="1"/>
    </xf>
    <xf numFmtId="165" fontId="52" fillId="0" borderId="0" xfId="1" applyNumberFormat="1" applyFont="1" applyFill="1"/>
    <xf numFmtId="0" fontId="52" fillId="0" borderId="0" xfId="9" applyFont="1" applyFill="1"/>
    <xf numFmtId="0" fontId="3" fillId="0" borderId="0" xfId="0" applyFont="1"/>
    <xf numFmtId="0" fontId="52" fillId="0" borderId="1" xfId="9" applyFont="1" applyFill="1" applyBorder="1"/>
    <xf numFmtId="0" fontId="52" fillId="2" borderId="1" xfId="9" applyFont="1" applyFill="1" applyBorder="1"/>
    <xf numFmtId="0" fontId="52" fillId="2" borderId="0" xfId="9" applyFont="1" applyFill="1"/>
    <xf numFmtId="0" fontId="74" fillId="2" borderId="1" xfId="9" applyFont="1" applyFill="1" applyBorder="1"/>
    <xf numFmtId="0" fontId="74" fillId="2" borderId="0" xfId="9" applyFont="1" applyFill="1"/>
    <xf numFmtId="0" fontId="74" fillId="2" borderId="1" xfId="9" applyFont="1" applyFill="1" applyBorder="1" applyAlignment="1">
      <alignment horizontal="center" vertical="top" wrapText="1"/>
    </xf>
    <xf numFmtId="0" fontId="74" fillId="2" borderId="3" xfId="9" applyFont="1" applyFill="1" applyBorder="1" applyAlignment="1">
      <alignment horizontal="center" vertical="top" wrapText="1"/>
    </xf>
    <xf numFmtId="165" fontId="74" fillId="2" borderId="1" xfId="1" applyNumberFormat="1" applyFont="1" applyFill="1" applyBorder="1" applyAlignment="1">
      <alignment horizontal="right" vertical="top" wrapText="1"/>
    </xf>
    <xf numFmtId="0" fontId="52" fillId="0" borderId="0" xfId="9" applyFont="1" applyFill="1" applyAlignment="1">
      <alignment horizontal="center"/>
    </xf>
    <xf numFmtId="43" fontId="46" fillId="2" borderId="0" xfId="1" applyFont="1" applyFill="1" applyAlignment="1">
      <alignment vertical="center"/>
    </xf>
    <xf numFmtId="171" fontId="46" fillId="2" borderId="0" xfId="1" applyNumberFormat="1" applyFont="1" applyFill="1" applyAlignment="1">
      <alignment vertical="center"/>
    </xf>
    <xf numFmtId="0" fontId="90" fillId="2" borderId="6" xfId="0" applyFont="1" applyFill="1" applyBorder="1" applyAlignment="1">
      <alignment vertical="center"/>
    </xf>
    <xf numFmtId="0" fontId="92" fillId="0" borderId="1" xfId="0" applyFont="1" applyBorder="1" applyAlignment="1">
      <alignment horizontal="center" vertical="center" wrapText="1"/>
    </xf>
    <xf numFmtId="0" fontId="91" fillId="0" borderId="1" xfId="0" applyFont="1" applyBorder="1" applyAlignment="1">
      <alignment horizontal="center" vertical="center" wrapText="1"/>
    </xf>
    <xf numFmtId="0" fontId="93" fillId="0" borderId="1" xfId="0" applyFont="1" applyBorder="1" applyAlignment="1">
      <alignment horizontal="center" vertical="center" wrapText="1"/>
    </xf>
    <xf numFmtId="0" fontId="92" fillId="0" borderId="1" xfId="0" applyFont="1" applyBorder="1" applyAlignment="1">
      <alignment horizontal="justify" vertical="center" wrapText="1"/>
    </xf>
    <xf numFmtId="0" fontId="94" fillId="0" borderId="1" xfId="0" applyFont="1" applyBorder="1" applyAlignment="1">
      <alignment horizontal="center" vertical="center" wrapText="1"/>
    </xf>
    <xf numFmtId="17" fontId="92" fillId="0" borderId="1" xfId="0" applyNumberFormat="1" applyFont="1" applyBorder="1" applyAlignment="1">
      <alignment horizontal="center" vertical="center" wrapText="1"/>
    </xf>
    <xf numFmtId="0" fontId="91" fillId="0" borderId="1" xfId="0" applyFont="1" applyBorder="1" applyAlignment="1">
      <alignment horizontal="justify" vertical="center" wrapText="1"/>
    </xf>
    <xf numFmtId="0" fontId="93" fillId="0" borderId="1" xfId="0" applyFont="1" applyBorder="1" applyAlignment="1">
      <alignment horizontal="justify" vertical="center" wrapText="1"/>
    </xf>
    <xf numFmtId="0" fontId="46" fillId="0" borderId="14" xfId="0" applyFont="1" applyBorder="1" applyAlignment="1">
      <alignment horizontal="center" vertical="center" wrapText="1"/>
    </xf>
    <xf numFmtId="0" fontId="46" fillId="0" borderId="16" xfId="0" applyFont="1" applyBorder="1" applyAlignment="1">
      <alignment horizontal="center" vertical="center" wrapText="1"/>
    </xf>
    <xf numFmtId="0" fontId="22" fillId="0" borderId="14" xfId="0" applyFont="1" applyBorder="1" applyAlignment="1">
      <alignment horizontal="center" vertical="center" wrapText="1"/>
    </xf>
    <xf numFmtId="0" fontId="96" fillId="0" borderId="16" xfId="0" applyFont="1" applyBorder="1" applyAlignment="1">
      <alignment horizontal="center" vertical="center" wrapText="1"/>
    </xf>
    <xf numFmtId="0" fontId="32" fillId="0" borderId="14" xfId="0" applyFont="1" applyBorder="1" applyAlignment="1">
      <alignment horizontal="center" vertical="center" wrapText="1"/>
    </xf>
    <xf numFmtId="0" fontId="46" fillId="0" borderId="16" xfId="0" applyFont="1" applyBorder="1" applyAlignment="1">
      <alignment horizontal="justify" vertical="center" wrapText="1"/>
    </xf>
    <xf numFmtId="17" fontId="46" fillId="0" borderId="16" xfId="0" applyNumberFormat="1" applyFont="1" applyBorder="1" applyAlignment="1">
      <alignment horizontal="center" vertical="center" wrapText="1"/>
    </xf>
    <xf numFmtId="0" fontId="22" fillId="0" borderId="16" xfId="0" applyFont="1" applyBorder="1" applyAlignment="1">
      <alignment horizontal="justify" vertical="center" wrapText="1"/>
    </xf>
    <xf numFmtId="0" fontId="10" fillId="0" borderId="14" xfId="0" applyFont="1" applyBorder="1" applyAlignment="1">
      <alignment horizontal="center" vertical="center" wrapText="1"/>
    </xf>
    <xf numFmtId="0" fontId="10" fillId="0" borderId="16" xfId="0" applyFont="1" applyBorder="1" applyAlignment="1">
      <alignment horizontal="justify" vertical="center" wrapText="1"/>
    </xf>
    <xf numFmtId="0" fontId="75"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74" fillId="0" borderId="1" xfId="0" applyFont="1" applyFill="1" applyBorder="1" applyAlignment="1">
      <alignment horizontal="center" vertical="center" wrapText="1"/>
    </xf>
    <xf numFmtId="0" fontId="74" fillId="0" borderId="1" xfId="0" applyFont="1" applyFill="1" applyBorder="1" applyAlignment="1">
      <alignment vertical="center" wrapText="1"/>
    </xf>
    <xf numFmtId="165" fontId="74" fillId="0" borderId="1" xfId="1" applyNumberFormat="1" applyFont="1" applyFill="1" applyBorder="1" applyAlignment="1">
      <alignment horizontal="right" vertical="center" wrapText="1"/>
    </xf>
    <xf numFmtId="165" fontId="75" fillId="0" borderId="1" xfId="1" applyNumberFormat="1" applyFont="1" applyFill="1" applyBorder="1" applyAlignment="1">
      <alignment horizontal="right" vertical="center" wrapText="1"/>
    </xf>
    <xf numFmtId="0" fontId="52" fillId="0" borderId="1" xfId="0" applyFont="1" applyFill="1" applyBorder="1" applyAlignment="1">
      <alignment horizontal="center" vertical="center" wrapText="1"/>
    </xf>
    <xf numFmtId="0" fontId="52" fillId="0" borderId="1" xfId="0" applyFont="1" applyFill="1" applyBorder="1" applyAlignment="1">
      <alignment horizontal="justify" vertical="center" wrapText="1"/>
    </xf>
    <xf numFmtId="0" fontId="52" fillId="0" borderId="3" xfId="0" applyFont="1" applyFill="1" applyBorder="1" applyAlignment="1">
      <alignment horizontal="center" vertical="center" wrapText="1"/>
    </xf>
    <xf numFmtId="165" fontId="52" fillId="0" borderId="1" xfId="1" applyNumberFormat="1" applyFont="1" applyFill="1" applyBorder="1" applyAlignment="1">
      <alignment horizontal="right" vertical="center" wrapText="1"/>
    </xf>
    <xf numFmtId="0" fontId="46" fillId="0" borderId="1" xfId="0" quotePrefix="1" applyFont="1" applyFill="1" applyBorder="1" applyAlignment="1">
      <alignment vertical="center"/>
    </xf>
    <xf numFmtId="0" fontId="52" fillId="0" borderId="1" xfId="0" quotePrefix="1" applyFont="1" applyFill="1" applyBorder="1" applyAlignment="1">
      <alignment horizontal="justify" vertical="center" wrapText="1"/>
    </xf>
    <xf numFmtId="0" fontId="46" fillId="0" borderId="1" xfId="0" applyFont="1" applyFill="1" applyBorder="1" applyAlignment="1">
      <alignment vertical="center"/>
    </xf>
    <xf numFmtId="0" fontId="46" fillId="0" borderId="1" xfId="0" applyFont="1" applyFill="1" applyBorder="1" applyAlignment="1">
      <alignment vertical="center" wrapText="1"/>
    </xf>
    <xf numFmtId="0" fontId="81" fillId="0" borderId="1" xfId="0" applyFont="1" applyFill="1" applyBorder="1" applyAlignment="1">
      <alignment vertical="center"/>
    </xf>
    <xf numFmtId="0" fontId="82" fillId="0" borderId="1" xfId="0" applyFont="1" applyFill="1" applyBorder="1" applyAlignment="1">
      <alignment vertical="center"/>
    </xf>
    <xf numFmtId="165" fontId="82" fillId="0" borderId="1" xfId="1" applyNumberFormat="1" applyFont="1" applyFill="1" applyBorder="1" applyAlignment="1">
      <alignment vertical="center"/>
    </xf>
    <xf numFmtId="0" fontId="74" fillId="0" borderId="0" xfId="0" applyFont="1" applyFill="1" applyBorder="1" applyAlignment="1">
      <alignment horizontal="center" vertical="center" wrapText="1"/>
    </xf>
    <xf numFmtId="0" fontId="97" fillId="0" borderId="1" xfId="0" applyFont="1" applyBorder="1" applyAlignment="1">
      <alignment horizontal="center" vertical="center" wrapText="1"/>
    </xf>
    <xf numFmtId="0" fontId="98" fillId="0" borderId="0" xfId="0" applyFont="1"/>
    <xf numFmtId="0" fontId="98" fillId="0" borderId="1" xfId="0" applyFont="1" applyBorder="1" applyAlignment="1">
      <alignment horizontal="center" vertical="center" wrapText="1"/>
    </xf>
    <xf numFmtId="165" fontId="46" fillId="2" borderId="1" xfId="1" applyNumberFormat="1" applyFont="1" applyFill="1" applyBorder="1" applyAlignment="1">
      <alignment horizontal="right" vertical="center"/>
    </xf>
    <xf numFmtId="0" fontId="46" fillId="0" borderId="1" xfId="0" applyFont="1" applyFill="1" applyBorder="1" applyAlignment="1">
      <alignment horizontal="center" vertical="center" wrapText="1"/>
    </xf>
    <xf numFmtId="0" fontId="46" fillId="0" borderId="1" xfId="0" applyFont="1" applyFill="1" applyBorder="1" applyAlignment="1">
      <alignment horizontal="left" vertical="center" wrapText="1"/>
    </xf>
    <xf numFmtId="0" fontId="101" fillId="0" borderId="0" xfId="0" applyFont="1" applyAlignment="1">
      <alignment horizontal="center"/>
    </xf>
    <xf numFmtId="0" fontId="101" fillId="0" borderId="0" xfId="0" applyFont="1" applyAlignment="1">
      <alignment horizontal="left" vertical="center" wrapText="1"/>
    </xf>
    <xf numFmtId="0" fontId="49" fillId="0" borderId="0" xfId="0" applyFont="1" applyAlignment="1">
      <alignment horizontal="center" vertical="center"/>
    </xf>
    <xf numFmtId="0" fontId="102" fillId="0" borderId="1" xfId="0" applyFont="1" applyBorder="1" applyAlignment="1">
      <alignment horizontal="center" vertical="center" wrapText="1"/>
    </xf>
    <xf numFmtId="0" fontId="103" fillId="0" borderId="1" xfId="0" applyFont="1" applyBorder="1" applyAlignment="1">
      <alignment horizontal="center" vertical="center" wrapText="1"/>
    </xf>
    <xf numFmtId="0" fontId="101" fillId="0" borderId="1" xfId="0" applyFont="1" applyBorder="1" applyAlignment="1">
      <alignment horizontal="center" vertical="center" wrapText="1"/>
    </xf>
    <xf numFmtId="0" fontId="104" fillId="0" borderId="1" xfId="0" applyFont="1" applyBorder="1" applyAlignment="1">
      <alignment horizontal="center" vertical="center" wrapText="1"/>
    </xf>
    <xf numFmtId="0" fontId="102" fillId="0" borderId="1" xfId="0" applyFont="1" applyBorder="1" applyAlignment="1">
      <alignment vertical="center" wrapText="1"/>
    </xf>
    <xf numFmtId="3" fontId="102" fillId="0" borderId="1" xfId="0" applyNumberFormat="1" applyFont="1" applyBorder="1" applyAlignment="1">
      <alignment vertical="center" wrapText="1"/>
    </xf>
    <xf numFmtId="3" fontId="101" fillId="0" borderId="1" xfId="0" applyNumberFormat="1" applyFont="1" applyBorder="1" applyAlignment="1">
      <alignment vertical="center" wrapText="1"/>
    </xf>
    <xf numFmtId="0" fontId="101" fillId="0" borderId="1" xfId="0" applyFont="1" applyBorder="1" applyAlignment="1">
      <alignment vertical="center" wrapText="1"/>
    </xf>
    <xf numFmtId="3" fontId="103" fillId="0" borderId="1" xfId="0" applyNumberFormat="1" applyFont="1" applyBorder="1" applyAlignment="1">
      <alignment vertical="center" wrapText="1"/>
    </xf>
    <xf numFmtId="173" fontId="56" fillId="0" borderId="0" xfId="0" applyNumberFormat="1" applyFont="1"/>
    <xf numFmtId="3" fontId="105" fillId="0" borderId="1" xfId="0" applyNumberFormat="1" applyFont="1" applyBorder="1" applyAlignment="1">
      <alignment vertical="center" wrapText="1"/>
    </xf>
    <xf numFmtId="0" fontId="101" fillId="0" borderId="0" xfId="0" applyFont="1" applyAlignment="1">
      <alignment wrapText="1"/>
    </xf>
    <xf numFmtId="171" fontId="56" fillId="0" borderId="0" xfId="0" applyNumberFormat="1" applyFont="1"/>
    <xf numFmtId="49" fontId="102" fillId="4" borderId="20" xfId="0" applyNumberFormat="1" applyFont="1" applyFill="1" applyBorder="1" applyAlignment="1">
      <alignment horizontal="center" vertical="center" wrapText="1"/>
    </xf>
    <xf numFmtId="3" fontId="102" fillId="4" borderId="20" xfId="0" applyNumberFormat="1" applyFont="1" applyFill="1" applyBorder="1" applyAlignment="1">
      <alignment vertical="center" wrapText="1"/>
    </xf>
    <xf numFmtId="3" fontId="102" fillId="4" borderId="20" xfId="0" applyNumberFormat="1" applyFont="1" applyFill="1" applyBorder="1" applyAlignment="1">
      <alignment horizontal="right" vertical="center" wrapText="1"/>
    </xf>
    <xf numFmtId="49" fontId="101" fillId="4" borderId="9" xfId="0" applyNumberFormat="1" applyFont="1" applyFill="1" applyBorder="1" applyAlignment="1">
      <alignment horizontal="center" vertical="center" wrapText="1"/>
    </xf>
    <xf numFmtId="0" fontId="101" fillId="4" borderId="9" xfId="0" applyFont="1" applyFill="1" applyBorder="1" applyAlignment="1">
      <alignment vertical="center" wrapText="1"/>
    </xf>
    <xf numFmtId="0" fontId="101" fillId="4" borderId="9" xfId="0" applyFont="1" applyFill="1" applyBorder="1" applyAlignment="1">
      <alignment horizontal="center" vertical="center" wrapText="1"/>
    </xf>
    <xf numFmtId="3" fontId="101" fillId="4" borderId="9" xfId="0" applyNumberFormat="1" applyFont="1" applyFill="1" applyBorder="1" applyAlignment="1">
      <alignment vertical="center" wrapText="1"/>
    </xf>
    <xf numFmtId="3" fontId="101" fillId="4" borderId="9" xfId="0" applyNumberFormat="1" applyFont="1" applyFill="1" applyBorder="1" applyAlignment="1">
      <alignment horizontal="right" vertical="center" wrapText="1"/>
    </xf>
    <xf numFmtId="49" fontId="101" fillId="4" borderId="21" xfId="0" applyNumberFormat="1" applyFont="1" applyFill="1" applyBorder="1" applyAlignment="1">
      <alignment horizontal="center" vertical="center" wrapText="1"/>
    </xf>
    <xf numFmtId="0" fontId="101" fillId="4" borderId="21" xfId="0" applyFont="1" applyFill="1" applyBorder="1" applyAlignment="1">
      <alignment vertical="center" wrapText="1"/>
    </xf>
    <xf numFmtId="0" fontId="101" fillId="4" borderId="21" xfId="0" applyFont="1" applyFill="1" applyBorder="1" applyAlignment="1">
      <alignment horizontal="center" vertical="center" wrapText="1"/>
    </xf>
    <xf numFmtId="3" fontId="101" fillId="4" borderId="21" xfId="0" applyNumberFormat="1" applyFont="1" applyFill="1" applyBorder="1" applyAlignment="1">
      <alignment vertical="center" wrapText="1"/>
    </xf>
    <xf numFmtId="3" fontId="101" fillId="4" borderId="21" xfId="0" applyNumberFormat="1" applyFont="1" applyFill="1" applyBorder="1" applyAlignment="1">
      <alignment horizontal="right" vertical="center" wrapText="1"/>
    </xf>
    <xf numFmtId="49" fontId="102" fillId="4" borderId="1" xfId="0" applyNumberFormat="1" applyFont="1" applyFill="1" applyBorder="1" applyAlignment="1">
      <alignment horizontal="center" vertical="center" wrapText="1"/>
    </xf>
    <xf numFmtId="3" fontId="102" fillId="4" borderId="1" xfId="0" applyNumberFormat="1" applyFont="1" applyFill="1" applyBorder="1" applyAlignment="1">
      <alignment vertical="center" wrapText="1"/>
    </xf>
    <xf numFmtId="3" fontId="102" fillId="4" borderId="1" xfId="0" applyNumberFormat="1" applyFont="1" applyFill="1" applyBorder="1" applyAlignment="1">
      <alignment horizontal="right" vertical="center" wrapText="1"/>
    </xf>
    <xf numFmtId="0" fontId="105" fillId="4" borderId="1" xfId="0" applyFont="1" applyFill="1" applyBorder="1" applyAlignment="1">
      <alignment vertical="center" wrapText="1"/>
    </xf>
    <xf numFmtId="0" fontId="105" fillId="4" borderId="1" xfId="0" applyFont="1" applyFill="1" applyBorder="1" applyAlignment="1">
      <alignment horizontal="center" vertical="center" wrapText="1"/>
    </xf>
    <xf numFmtId="49" fontId="101" fillId="4" borderId="20" xfId="0" applyNumberFormat="1" applyFont="1" applyFill="1" applyBorder="1" applyAlignment="1">
      <alignment horizontal="center" vertical="center" wrapText="1"/>
    </xf>
    <xf numFmtId="0" fontId="101" fillId="4" borderId="20" xfId="0" applyFont="1" applyFill="1" applyBorder="1" applyAlignment="1">
      <alignment vertical="center" wrapText="1"/>
    </xf>
    <xf numFmtId="0" fontId="101" fillId="4" borderId="20" xfId="0" applyFont="1" applyFill="1" applyBorder="1" applyAlignment="1">
      <alignment horizontal="center" vertical="center" wrapText="1"/>
    </xf>
    <xf numFmtId="3" fontId="101" fillId="4" borderId="20" xfId="0" applyNumberFormat="1" applyFont="1" applyFill="1" applyBorder="1" applyAlignment="1">
      <alignment vertical="center" wrapText="1"/>
    </xf>
    <xf numFmtId="3" fontId="101" fillId="4" borderId="20" xfId="0" applyNumberFormat="1" applyFont="1" applyFill="1" applyBorder="1" applyAlignment="1">
      <alignment horizontal="right" vertical="center" wrapText="1"/>
    </xf>
    <xf numFmtId="0" fontId="105" fillId="4" borderId="20" xfId="0" applyFont="1" applyFill="1" applyBorder="1" applyAlignment="1">
      <alignment vertical="center" wrapText="1"/>
    </xf>
    <xf numFmtId="0" fontId="105" fillId="4" borderId="20" xfId="0" applyFont="1" applyFill="1" applyBorder="1" applyAlignment="1">
      <alignment horizontal="center" vertical="center" wrapText="1"/>
    </xf>
    <xf numFmtId="0" fontId="107" fillId="0" borderId="0" xfId="0" applyFont="1" applyBorder="1" applyAlignment="1">
      <alignment vertical="center"/>
    </xf>
    <xf numFmtId="0" fontId="107" fillId="0" borderId="0" xfId="0" applyFont="1" applyBorder="1" applyAlignment="1">
      <alignment horizontal="left" vertical="center"/>
    </xf>
    <xf numFmtId="0" fontId="107" fillId="0" borderId="0" xfId="0" applyFont="1" applyAlignment="1">
      <alignment horizontal="center" vertical="center"/>
    </xf>
    <xf numFmtId="0" fontId="107" fillId="0" borderId="0" xfId="0" applyFont="1" applyAlignment="1">
      <alignment horizontal="left" vertical="center" wrapText="1"/>
    </xf>
    <xf numFmtId="0" fontId="107" fillId="0" borderId="0" xfId="0" applyFont="1" applyAlignment="1">
      <alignment vertical="center"/>
    </xf>
    <xf numFmtId="0" fontId="107" fillId="0" borderId="0" xfId="0" applyFont="1" applyAlignment="1">
      <alignment horizontal="right" vertical="center"/>
    </xf>
    <xf numFmtId="0" fontId="106" fillId="0" borderId="1" xfId="0" applyFont="1" applyBorder="1" applyAlignment="1">
      <alignment horizontal="center" vertical="center"/>
    </xf>
    <xf numFmtId="0" fontId="106" fillId="0" borderId="1" xfId="0" applyFont="1" applyBorder="1" applyAlignment="1">
      <alignment horizontal="left" vertical="center" wrapText="1"/>
    </xf>
    <xf numFmtId="0" fontId="108" fillId="0" borderId="1" xfId="0" applyFont="1" applyBorder="1" applyAlignment="1">
      <alignment horizontal="center" vertical="center"/>
    </xf>
    <xf numFmtId="0" fontId="108" fillId="0" borderId="1" xfId="0" applyFont="1" applyBorder="1" applyAlignment="1">
      <alignment horizontal="left" vertical="center" wrapText="1"/>
    </xf>
    <xf numFmtId="0" fontId="107" fillId="0" borderId="1" xfId="0" applyFont="1" applyBorder="1" applyAlignment="1">
      <alignment horizontal="center" vertical="center"/>
    </xf>
    <xf numFmtId="0" fontId="107" fillId="0" borderId="1" xfId="0" applyFont="1" applyBorder="1" applyAlignment="1">
      <alignment horizontal="left" vertical="center" wrapText="1"/>
    </xf>
    <xf numFmtId="0" fontId="106" fillId="0" borderId="0" xfId="0" applyFont="1" applyBorder="1" applyAlignment="1">
      <alignment horizontal="center" vertical="center"/>
    </xf>
    <xf numFmtId="0" fontId="106" fillId="0" borderId="0" xfId="0" applyFont="1" applyBorder="1" applyAlignment="1">
      <alignment horizontal="left" vertical="center" wrapText="1"/>
    </xf>
    <xf numFmtId="0" fontId="108" fillId="0" borderId="0" xfId="0" applyFont="1" applyBorder="1" applyAlignment="1">
      <alignment vertical="center"/>
    </xf>
    <xf numFmtId="0" fontId="106" fillId="0" borderId="0" xfId="0" applyFont="1" applyAlignment="1">
      <alignment vertical="center"/>
    </xf>
    <xf numFmtId="0" fontId="98" fillId="0" borderId="0" xfId="0" applyFont="1" applyAlignment="1">
      <alignment horizontal="center" vertical="center"/>
    </xf>
    <xf numFmtId="0" fontId="98" fillId="0" borderId="0" xfId="0" applyFont="1" applyAlignment="1">
      <alignment horizontal="left" vertical="center" wrapText="1"/>
    </xf>
    <xf numFmtId="0" fontId="98" fillId="0" borderId="0" xfId="0" applyFont="1" applyAlignment="1">
      <alignment vertical="center"/>
    </xf>
    <xf numFmtId="0" fontId="98" fillId="0" borderId="0" xfId="0" applyFont="1" applyAlignment="1">
      <alignment horizontal="right" vertical="center"/>
    </xf>
    <xf numFmtId="0" fontId="108" fillId="0" borderId="0" xfId="0" applyFont="1" applyAlignment="1">
      <alignment horizontal="center" vertical="center"/>
    </xf>
    <xf numFmtId="0" fontId="108" fillId="0" borderId="0" xfId="0" applyFont="1" applyAlignment="1">
      <alignment horizontal="left" vertical="center" wrapText="1"/>
    </xf>
    <xf numFmtId="0" fontId="108" fillId="0" borderId="0" xfId="0" applyFont="1" applyAlignment="1">
      <alignment vertical="center"/>
    </xf>
    <xf numFmtId="0" fontId="108" fillId="0" borderId="0" xfId="0" applyFont="1" applyAlignment="1">
      <alignment horizontal="right" vertical="center"/>
    </xf>
    <xf numFmtId="165" fontId="106" fillId="0" borderId="1" xfId="1" applyNumberFormat="1" applyFont="1" applyBorder="1" applyAlignment="1">
      <alignment vertical="center" wrapText="1"/>
    </xf>
    <xf numFmtId="165" fontId="106" fillId="0" borderId="1" xfId="1" applyNumberFormat="1" applyFont="1" applyBorder="1" applyAlignment="1">
      <alignment vertical="center"/>
    </xf>
    <xf numFmtId="165" fontId="108" fillId="0" borderId="1" xfId="1" applyNumberFormat="1" applyFont="1" applyBorder="1" applyAlignment="1">
      <alignment horizontal="right" vertical="center"/>
    </xf>
    <xf numFmtId="165" fontId="108" fillId="0" borderId="1" xfId="1" applyNumberFormat="1" applyFont="1" applyBorder="1" applyAlignment="1">
      <alignment vertical="center"/>
    </xf>
    <xf numFmtId="0" fontId="49" fillId="0" borderId="1" xfId="9" applyFont="1" applyFill="1" applyBorder="1" applyAlignment="1">
      <alignment horizontal="center" vertical="center" wrapText="1"/>
    </xf>
    <xf numFmtId="0" fontId="49" fillId="0" borderId="1" xfId="9" applyFont="1" applyFill="1" applyBorder="1" applyAlignment="1">
      <alignment horizontal="left" vertical="center" wrapText="1"/>
    </xf>
    <xf numFmtId="0" fontId="110" fillId="4" borderId="1" xfId="0" applyFont="1" applyFill="1" applyBorder="1" applyAlignment="1">
      <alignment vertical="center" wrapText="1"/>
    </xf>
    <xf numFmtId="0" fontId="79" fillId="0" borderId="1" xfId="9" applyFont="1" applyFill="1" applyBorder="1"/>
    <xf numFmtId="165" fontId="79" fillId="0" borderId="1" xfId="1" applyNumberFormat="1" applyFont="1" applyFill="1" applyBorder="1"/>
    <xf numFmtId="3" fontId="112" fillId="0" borderId="1" xfId="0" applyNumberFormat="1" applyFont="1" applyBorder="1" applyAlignment="1">
      <alignment vertical="center" wrapText="1"/>
    </xf>
    <xf numFmtId="0" fontId="112" fillId="0" borderId="1" xfId="0" applyFont="1" applyBorder="1" applyAlignment="1">
      <alignment horizontal="center" vertical="center" wrapText="1"/>
    </xf>
    <xf numFmtId="165" fontId="3" fillId="0" borderId="0" xfId="3" applyNumberFormat="1" applyFont="1"/>
    <xf numFmtId="0" fontId="22" fillId="0" borderId="1" xfId="0" applyFont="1" applyBorder="1" applyAlignment="1">
      <alignment horizontal="center" vertical="center" wrapText="1"/>
    </xf>
    <xf numFmtId="172" fontId="22" fillId="0" borderId="3" xfId="1" applyNumberFormat="1" applyFont="1" applyBorder="1" applyAlignment="1">
      <alignment horizontal="center" vertical="center" wrapText="1"/>
    </xf>
    <xf numFmtId="172" fontId="22" fillId="0" borderId="1" xfId="1" applyNumberFormat="1" applyFont="1" applyBorder="1" applyAlignment="1">
      <alignment horizontal="center" vertical="center" wrapText="1"/>
    </xf>
    <xf numFmtId="172" fontId="46" fillId="0" borderId="1" xfId="1" applyNumberFormat="1" applyFont="1" applyBorder="1" applyAlignment="1">
      <alignment horizontal="center" vertical="center" wrapText="1"/>
    </xf>
    <xf numFmtId="0" fontId="22" fillId="0" borderId="1" xfId="0" applyFont="1" applyFill="1" applyBorder="1" applyAlignment="1">
      <alignment horizontal="left" vertical="center" wrapText="1"/>
    </xf>
    <xf numFmtId="165" fontId="22" fillId="2" borderId="1" xfId="1"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3" fillId="0" borderId="1" xfId="0" applyFont="1" applyBorder="1"/>
    <xf numFmtId="172" fontId="10" fillId="0" borderId="1" xfId="1" applyNumberFormat="1" applyFont="1" applyBorder="1" applyAlignment="1">
      <alignment horizontal="center" vertical="center" wrapText="1"/>
    </xf>
    <xf numFmtId="0" fontId="10" fillId="2" borderId="1" xfId="0" applyFont="1" applyFill="1" applyBorder="1" applyAlignment="1">
      <alignment horizontal="center" vertical="center" wrapText="1"/>
    </xf>
    <xf numFmtId="172" fontId="10" fillId="0" borderId="3" xfId="1" applyNumberFormat="1" applyFont="1" applyBorder="1" applyAlignment="1">
      <alignment horizontal="center" vertical="center" wrapText="1"/>
    </xf>
    <xf numFmtId="3" fontId="10" fillId="2" borderId="1" xfId="0" applyNumberFormat="1" applyFont="1" applyFill="1" applyBorder="1" applyAlignment="1">
      <alignment horizontal="right" vertical="center"/>
    </xf>
    <xf numFmtId="172" fontId="46" fillId="0" borderId="3" xfId="1" applyNumberFormat="1" applyFont="1" applyBorder="1" applyAlignment="1">
      <alignment vertical="center" wrapText="1"/>
    </xf>
    <xf numFmtId="3" fontId="46" fillId="2" borderId="1" xfId="0" applyNumberFormat="1" applyFont="1" applyFill="1" applyBorder="1" applyAlignment="1">
      <alignment vertical="center"/>
    </xf>
    <xf numFmtId="172" fontId="46" fillId="0" borderId="1" xfId="1" applyNumberFormat="1" applyFont="1" applyBorder="1" applyAlignment="1">
      <alignment vertical="center" wrapText="1"/>
    </xf>
    <xf numFmtId="3" fontId="46" fillId="0" borderId="1" xfId="0" applyNumberFormat="1" applyFont="1" applyFill="1" applyBorder="1" applyAlignment="1">
      <alignment vertical="center" wrapText="1"/>
    </xf>
    <xf numFmtId="172" fontId="46" fillId="0" borderId="1" xfId="0" applyNumberFormat="1" applyFont="1" applyBorder="1" applyAlignment="1">
      <alignment vertical="center"/>
    </xf>
    <xf numFmtId="172" fontId="46" fillId="0" borderId="3" xfId="1" quotePrefix="1" applyNumberFormat="1" applyFont="1" applyBorder="1" applyAlignment="1">
      <alignment vertical="center" wrapText="1"/>
    </xf>
    <xf numFmtId="172" fontId="10" fillId="0" borderId="3" xfId="1" applyNumberFormat="1" applyFont="1" applyBorder="1" applyAlignment="1">
      <alignment vertical="center" wrapText="1"/>
    </xf>
    <xf numFmtId="3" fontId="10" fillId="2" borderId="1" xfId="0" applyNumberFormat="1" applyFont="1" applyFill="1" applyBorder="1" applyAlignment="1">
      <alignment vertical="center"/>
    </xf>
    <xf numFmtId="172" fontId="10" fillId="0" borderId="1" xfId="1" applyNumberFormat="1" applyFont="1" applyBorder="1" applyAlignment="1">
      <alignment vertical="center" wrapText="1"/>
    </xf>
    <xf numFmtId="0" fontId="98" fillId="0" borderId="1" xfId="0" applyFont="1" applyBorder="1" applyAlignment="1">
      <alignment vertical="center" wrapText="1"/>
    </xf>
    <xf numFmtId="0" fontId="97" fillId="0" borderId="1" xfId="0" applyFont="1" applyBorder="1" applyAlignment="1">
      <alignment vertical="center" wrapText="1"/>
    </xf>
    <xf numFmtId="0" fontId="111" fillId="0" borderId="0" xfId="0" applyFont="1" applyAlignment="1">
      <alignment vertical="center"/>
    </xf>
    <xf numFmtId="0" fontId="97" fillId="0" borderId="0" xfId="0" applyFont="1" applyAlignment="1">
      <alignment vertical="center"/>
    </xf>
    <xf numFmtId="165" fontId="108" fillId="0" borderId="0" xfId="1" applyNumberFormat="1" applyFont="1" applyBorder="1" applyAlignment="1">
      <alignment vertical="center"/>
    </xf>
    <xf numFmtId="165" fontId="108" fillId="0" borderId="0" xfId="0" applyNumberFormat="1" applyFont="1" applyBorder="1" applyAlignment="1">
      <alignment horizontal="right" vertical="center"/>
    </xf>
    <xf numFmtId="165" fontId="107" fillId="0" borderId="0" xfId="1" applyNumberFormat="1" applyFont="1" applyBorder="1" applyAlignment="1">
      <alignment vertical="center"/>
    </xf>
    <xf numFmtId="165" fontId="97" fillId="0" borderId="1" xfId="1" applyNumberFormat="1" applyFont="1" applyBorder="1" applyAlignment="1">
      <alignment horizontal="center" vertical="center" wrapText="1"/>
    </xf>
    <xf numFmtId="165" fontId="97" fillId="0" borderId="1" xfId="1" applyNumberFormat="1" applyFont="1" applyBorder="1" applyAlignment="1">
      <alignment vertical="center" wrapText="1"/>
    </xf>
    <xf numFmtId="165" fontId="106" fillId="0" borderId="0" xfId="1" applyNumberFormat="1" applyFont="1" applyAlignment="1">
      <alignment vertical="center"/>
    </xf>
    <xf numFmtId="165" fontId="107" fillId="0" borderId="0" xfId="1" applyNumberFormat="1" applyFont="1" applyAlignment="1">
      <alignment vertical="center"/>
    </xf>
    <xf numFmtId="165" fontId="98" fillId="0" borderId="0" xfId="1" applyNumberFormat="1" applyFont="1" applyAlignment="1">
      <alignment vertical="center"/>
    </xf>
    <xf numFmtId="165" fontId="98" fillId="0" borderId="0" xfId="1" applyNumberFormat="1" applyFont="1" applyAlignment="1">
      <alignment horizontal="right" vertical="center"/>
    </xf>
    <xf numFmtId="165" fontId="88" fillId="0" borderId="0" xfId="1" applyNumberFormat="1" applyFont="1"/>
    <xf numFmtId="165" fontId="108" fillId="0" borderId="1" xfId="1" applyNumberFormat="1" applyFont="1" applyBorder="1" applyAlignment="1">
      <alignment vertical="center" wrapText="1"/>
    </xf>
    <xf numFmtId="165" fontId="107" fillId="0" borderId="1" xfId="1" applyNumberFormat="1" applyFont="1" applyBorder="1" applyAlignment="1">
      <alignment vertical="center" wrapText="1"/>
    </xf>
    <xf numFmtId="165" fontId="3" fillId="0" borderId="0" xfId="1" applyNumberFormat="1" applyFont="1"/>
    <xf numFmtId="0" fontId="98" fillId="0" borderId="7" xfId="0" applyFont="1" applyFill="1" applyBorder="1" applyAlignment="1">
      <alignment horizontal="center" vertical="center" wrapText="1"/>
    </xf>
    <xf numFmtId="0" fontId="52" fillId="0" borderId="0" xfId="0" applyFont="1" applyFill="1" applyAlignment="1">
      <alignment horizontal="left" vertical="top"/>
    </xf>
    <xf numFmtId="165" fontId="52" fillId="2" borderId="0" xfId="1" applyNumberFormat="1" applyFont="1" applyFill="1" applyAlignment="1">
      <alignment horizontal="right" vertical="top"/>
    </xf>
    <xf numFmtId="165" fontId="49" fillId="2" borderId="1" xfId="1" applyNumberFormat="1" applyFont="1" applyFill="1" applyBorder="1" applyAlignment="1">
      <alignment horizontal="center" vertical="center"/>
    </xf>
    <xf numFmtId="165" fontId="49" fillId="2" borderId="1" xfId="1" applyNumberFormat="1" applyFont="1" applyFill="1" applyBorder="1" applyAlignment="1">
      <alignment horizontal="right" vertical="center"/>
    </xf>
    <xf numFmtId="165" fontId="52" fillId="2" borderId="1" xfId="1" applyNumberFormat="1" applyFont="1" applyFill="1" applyBorder="1" applyAlignment="1">
      <alignment horizontal="center" vertical="center"/>
    </xf>
    <xf numFmtId="165" fontId="52" fillId="2" borderId="1" xfId="1" applyNumberFormat="1" applyFont="1" applyFill="1" applyBorder="1" applyAlignment="1">
      <alignment horizontal="right" vertical="center"/>
    </xf>
    <xf numFmtId="165" fontId="98" fillId="0" borderId="1" xfId="1" applyNumberFormat="1" applyFont="1" applyBorder="1" applyAlignment="1">
      <alignment horizontal="center" vertical="center" wrapText="1"/>
    </xf>
    <xf numFmtId="165" fontId="98" fillId="0" borderId="1" xfId="0" applyNumberFormat="1" applyFont="1" applyBorder="1" applyAlignment="1">
      <alignment horizontal="center" vertical="center" wrapText="1"/>
    </xf>
    <xf numFmtId="0" fontId="52" fillId="0" borderId="1" xfId="0" applyFont="1" applyFill="1" applyBorder="1" applyAlignment="1">
      <alignment horizontal="center" vertical="center"/>
    </xf>
    <xf numFmtId="0" fontId="52" fillId="2" borderId="0" xfId="0" applyFont="1" applyFill="1" applyAlignment="1">
      <alignment vertical="top"/>
    </xf>
    <xf numFmtId="0" fontId="49" fillId="0" borderId="0" xfId="0" applyFont="1" applyFill="1" applyAlignment="1">
      <alignment vertical="top"/>
    </xf>
    <xf numFmtId="0" fontId="52" fillId="0" borderId="1" xfId="0" applyFont="1" applyFill="1" applyBorder="1" applyAlignment="1">
      <alignment vertical="center"/>
    </xf>
    <xf numFmtId="0" fontId="49" fillId="2" borderId="1" xfId="0" applyFont="1" applyFill="1" applyBorder="1" applyAlignment="1">
      <alignment horizontal="left" vertical="center" wrapText="1"/>
    </xf>
    <xf numFmtId="0" fontId="52" fillId="0" borderId="7" xfId="0" applyFont="1" applyFill="1" applyBorder="1" applyAlignment="1">
      <alignment vertical="center" wrapText="1"/>
    </xf>
    <xf numFmtId="0" fontId="52" fillId="0" borderId="0" xfId="0" applyFont="1" applyFill="1" applyBorder="1" applyAlignment="1">
      <alignment vertical="center" wrapText="1"/>
    </xf>
    <xf numFmtId="0" fontId="52" fillId="2" borderId="1" xfId="0" applyFont="1" applyFill="1" applyBorder="1" applyAlignment="1">
      <alignment vertical="top"/>
    </xf>
    <xf numFmtId="0" fontId="52" fillId="0" borderId="1" xfId="0" applyFont="1" applyBorder="1" applyAlignment="1">
      <alignment vertical="center"/>
    </xf>
    <xf numFmtId="0" fontId="52" fillId="2" borderId="1" xfId="0" applyFont="1" applyFill="1" applyBorder="1" applyAlignment="1">
      <alignment horizontal="center" vertical="center" wrapText="1"/>
    </xf>
    <xf numFmtId="0" fontId="52" fillId="0" borderId="1" xfId="0" applyFont="1" applyBorder="1" applyAlignment="1">
      <alignment horizontal="center" vertical="center"/>
    </xf>
    <xf numFmtId="0" fontId="46" fillId="0" borderId="1" xfId="0" applyFont="1" applyBorder="1" applyAlignment="1">
      <alignment vertical="center" wrapText="1"/>
    </xf>
    <xf numFmtId="0" fontId="52" fillId="0" borderId="1" xfId="0" applyFont="1" applyFill="1" applyBorder="1" applyAlignment="1">
      <alignment horizontal="right" vertical="center"/>
    </xf>
    <xf numFmtId="3" fontId="46" fillId="0" borderId="0" xfId="0" applyNumberFormat="1" applyFont="1"/>
    <xf numFmtId="0" fontId="52" fillId="2" borderId="0" xfId="0" applyFont="1" applyFill="1" applyAlignment="1">
      <alignment horizontal="left" vertical="top"/>
    </xf>
    <xf numFmtId="0" fontId="49" fillId="2" borderId="1" xfId="0" applyFont="1" applyFill="1" applyBorder="1" applyAlignment="1">
      <alignment vertical="center"/>
    </xf>
    <xf numFmtId="0" fontId="52" fillId="2" borderId="1" xfId="0" applyFont="1" applyFill="1" applyBorder="1" applyAlignment="1">
      <alignment horizontal="center" vertical="center"/>
    </xf>
    <xf numFmtId="165" fontId="52" fillId="2" borderId="0" xfId="1" applyNumberFormat="1" applyFont="1" applyFill="1" applyAlignment="1">
      <alignment horizontal="center" vertical="top"/>
    </xf>
    <xf numFmtId="165" fontId="52" fillId="2" borderId="1" xfId="1" applyNumberFormat="1" applyFont="1" applyFill="1" applyBorder="1" applyAlignment="1">
      <alignment vertical="center"/>
    </xf>
    <xf numFmtId="165" fontId="49" fillId="2" borderId="1" xfId="1" applyNumberFormat="1" applyFont="1" applyFill="1" applyBorder="1" applyAlignment="1">
      <alignment horizontal="left" vertical="center"/>
    </xf>
    <xf numFmtId="165" fontId="52" fillId="2" borderId="1" xfId="1" applyNumberFormat="1" applyFont="1" applyFill="1" applyBorder="1" applyAlignment="1">
      <alignment horizontal="left" vertical="center"/>
    </xf>
    <xf numFmtId="0" fontId="52" fillId="5" borderId="1" xfId="0" applyFont="1" applyFill="1" applyBorder="1" applyAlignment="1">
      <alignment horizontal="center" vertical="top"/>
    </xf>
    <xf numFmtId="0" fontId="52" fillId="5" borderId="1" xfId="0" applyFont="1" applyFill="1" applyBorder="1" applyAlignment="1">
      <alignment vertical="center"/>
    </xf>
    <xf numFmtId="165" fontId="49" fillId="2" borderId="1" xfId="1" applyNumberFormat="1" applyFont="1" applyFill="1" applyBorder="1" applyAlignment="1">
      <alignment vertical="center"/>
    </xf>
    <xf numFmtId="0" fontId="52" fillId="6" borderId="1" xfId="0" applyFont="1" applyFill="1" applyBorder="1" applyAlignment="1">
      <alignment horizontal="center" vertical="center" wrapText="1"/>
    </xf>
    <xf numFmtId="0" fontId="46" fillId="6" borderId="1" xfId="0" applyFont="1" applyFill="1" applyBorder="1" applyAlignment="1">
      <alignment horizontal="center" vertical="center" wrapText="1"/>
    </xf>
    <xf numFmtId="0" fontId="46" fillId="6" borderId="1" xfId="0" applyFont="1" applyFill="1" applyBorder="1" applyAlignment="1">
      <alignment vertical="center" wrapText="1"/>
    </xf>
    <xf numFmtId="165" fontId="52" fillId="6" borderId="1" xfId="1" applyNumberFormat="1" applyFont="1" applyFill="1" applyBorder="1" applyAlignment="1">
      <alignment horizontal="center" vertical="center"/>
    </xf>
    <xf numFmtId="165" fontId="52" fillId="6" borderId="1" xfId="1" applyNumberFormat="1" applyFont="1" applyFill="1" applyBorder="1" applyAlignment="1">
      <alignment horizontal="right" vertical="center"/>
    </xf>
    <xf numFmtId="0" fontId="52" fillId="6" borderId="1" xfId="0" applyFont="1" applyFill="1" applyBorder="1" applyAlignment="1">
      <alignment horizontal="center" vertical="top"/>
    </xf>
    <xf numFmtId="0" fontId="52" fillId="6" borderId="1" xfId="0" applyFont="1" applyFill="1" applyBorder="1" applyAlignment="1">
      <alignment vertical="top"/>
    </xf>
    <xf numFmtId="0" fontId="49" fillId="7" borderId="1" xfId="0" applyFont="1" applyFill="1" applyBorder="1" applyAlignment="1">
      <alignment horizontal="center" vertical="center"/>
    </xf>
    <xf numFmtId="0" fontId="49" fillId="7" borderId="1" xfId="0" applyFont="1" applyFill="1" applyBorder="1" applyAlignment="1">
      <alignment vertical="center" wrapText="1"/>
    </xf>
    <xf numFmtId="0" fontId="52" fillId="7" borderId="1" xfId="0" applyFont="1" applyFill="1" applyBorder="1" applyAlignment="1">
      <alignment horizontal="center" vertical="top"/>
    </xf>
    <xf numFmtId="0" fontId="52" fillId="7" borderId="1" xfId="0" applyFont="1" applyFill="1" applyBorder="1" applyAlignment="1">
      <alignment vertical="center"/>
    </xf>
    <xf numFmtId="165" fontId="49" fillId="7" borderId="1" xfId="1" applyNumberFormat="1" applyFont="1" applyFill="1" applyBorder="1" applyAlignment="1">
      <alignment horizontal="right" vertical="center"/>
    </xf>
    <xf numFmtId="0" fontId="52" fillId="7" borderId="1" xfId="0" applyFont="1" applyFill="1" applyBorder="1" applyAlignment="1">
      <alignment vertical="top"/>
    </xf>
    <xf numFmtId="0" fontId="49" fillId="7" borderId="1" xfId="0" applyFont="1" applyFill="1" applyBorder="1" applyAlignment="1">
      <alignment vertical="center" wrapText="1" shrinkToFit="1"/>
    </xf>
    <xf numFmtId="0" fontId="22" fillId="7" borderId="1" xfId="0" applyFont="1" applyFill="1" applyBorder="1" applyAlignment="1">
      <alignment vertical="center" wrapText="1"/>
    </xf>
    <xf numFmtId="0" fontId="22" fillId="7" borderId="1" xfId="0" applyFont="1" applyFill="1" applyBorder="1" applyAlignment="1">
      <alignment horizontal="right" vertical="center" wrapText="1"/>
    </xf>
    <xf numFmtId="165" fontId="49" fillId="7" borderId="1" xfId="1" applyNumberFormat="1" applyFont="1" applyFill="1" applyBorder="1" applyAlignment="1">
      <alignment horizontal="center" vertical="center"/>
    </xf>
    <xf numFmtId="0" fontId="52" fillId="6" borderId="1" xfId="0" applyFont="1" applyFill="1" applyBorder="1" applyAlignment="1">
      <alignment horizontal="center" vertical="center" wrapText="1"/>
    </xf>
    <xf numFmtId="165" fontId="52" fillId="6" borderId="1" xfId="1" applyNumberFormat="1" applyFont="1" applyFill="1" applyBorder="1" applyAlignment="1">
      <alignment horizontal="center" vertical="center"/>
    </xf>
    <xf numFmtId="0" fontId="52" fillId="6" borderId="1" xfId="0" applyFont="1" applyFill="1" applyBorder="1" applyAlignment="1">
      <alignment horizontal="center" vertical="top"/>
    </xf>
    <xf numFmtId="0" fontId="46" fillId="6" borderId="1" xfId="0" applyFont="1" applyFill="1" applyBorder="1" applyAlignment="1">
      <alignment horizontal="right" vertical="center" wrapText="1"/>
    </xf>
    <xf numFmtId="0" fontId="49" fillId="6" borderId="1" xfId="0" applyFont="1" applyFill="1" applyBorder="1" applyAlignment="1">
      <alignment horizontal="center" vertical="center"/>
    </xf>
    <xf numFmtId="0" fontId="49" fillId="6" borderId="1" xfId="0" applyFont="1" applyFill="1" applyBorder="1" applyAlignment="1">
      <alignment vertical="center" wrapText="1"/>
    </xf>
    <xf numFmtId="0" fontId="52" fillId="6" borderId="1" xfId="0" applyFont="1" applyFill="1" applyBorder="1" applyAlignment="1">
      <alignment vertical="center"/>
    </xf>
    <xf numFmtId="165" fontId="49" fillId="6" borderId="1" xfId="1" applyNumberFormat="1" applyFont="1" applyFill="1" applyBorder="1" applyAlignment="1">
      <alignment horizontal="right" vertical="center"/>
    </xf>
    <xf numFmtId="0" fontId="52" fillId="8" borderId="1" xfId="0" applyFont="1" applyFill="1" applyBorder="1" applyAlignment="1">
      <alignment vertical="center"/>
    </xf>
    <xf numFmtId="0" fontId="46" fillId="8" borderId="1" xfId="0" applyFont="1" applyFill="1" applyBorder="1" applyAlignment="1">
      <alignment vertical="center" wrapText="1"/>
    </xf>
    <xf numFmtId="0" fontId="49" fillId="6" borderId="1" xfId="0" applyFont="1" applyFill="1" applyBorder="1" applyAlignment="1">
      <alignment horizontal="center" vertical="center" wrapText="1"/>
    </xf>
    <xf numFmtId="0" fontId="52" fillId="6" borderId="1" xfId="0" applyFont="1" applyFill="1" applyBorder="1" applyAlignment="1">
      <alignment vertical="center" wrapText="1"/>
    </xf>
    <xf numFmtId="165" fontId="49" fillId="6" borderId="1" xfId="1" quotePrefix="1" applyNumberFormat="1" applyFont="1" applyFill="1" applyBorder="1" applyAlignment="1">
      <alignment horizontal="center" vertical="center" wrapText="1"/>
    </xf>
    <xf numFmtId="0" fontId="49" fillId="6" borderId="1" xfId="0" applyFont="1" applyFill="1" applyBorder="1" applyAlignment="1">
      <alignment vertical="top"/>
    </xf>
    <xf numFmtId="165" fontId="49" fillId="6" borderId="1" xfId="1" quotePrefix="1" applyNumberFormat="1" applyFont="1" applyFill="1" applyBorder="1" applyAlignment="1">
      <alignment horizontal="left" vertical="center" wrapText="1"/>
    </xf>
    <xf numFmtId="0" fontId="75" fillId="8" borderId="1" xfId="0" applyFont="1" applyFill="1" applyBorder="1" applyAlignment="1">
      <alignment vertical="center"/>
    </xf>
    <xf numFmtId="0" fontId="75" fillId="8" borderId="1" xfId="0" applyFont="1" applyFill="1" applyBorder="1" applyAlignment="1">
      <alignment vertical="center" wrapText="1"/>
    </xf>
    <xf numFmtId="165" fontId="75" fillId="8" borderId="1" xfId="0" applyNumberFormat="1" applyFont="1" applyFill="1" applyBorder="1" applyAlignment="1">
      <alignment horizontal="center" vertical="center"/>
    </xf>
    <xf numFmtId="165" fontId="75" fillId="8" borderId="1" xfId="1" applyNumberFormat="1" applyFont="1" applyFill="1" applyBorder="1" applyAlignment="1">
      <alignment horizontal="left" vertical="center"/>
    </xf>
    <xf numFmtId="0" fontId="75" fillId="8" borderId="1" xfId="0" applyFont="1" applyFill="1" applyBorder="1" applyAlignment="1">
      <alignment horizontal="center" vertical="center" wrapText="1"/>
    </xf>
    <xf numFmtId="165" fontId="75" fillId="8" borderId="1" xfId="1" quotePrefix="1" applyNumberFormat="1" applyFont="1" applyFill="1" applyBorder="1" applyAlignment="1">
      <alignment horizontal="left" vertical="center" wrapText="1"/>
    </xf>
    <xf numFmtId="0" fontId="75" fillId="8" borderId="1" xfId="0" applyFont="1" applyFill="1" applyBorder="1" applyAlignment="1">
      <alignment vertical="top"/>
    </xf>
    <xf numFmtId="165" fontId="75" fillId="8" borderId="1" xfId="1" applyNumberFormat="1" applyFont="1" applyFill="1" applyBorder="1" applyAlignment="1">
      <alignment horizontal="center" vertical="center"/>
    </xf>
    <xf numFmtId="0" fontId="75" fillId="8" borderId="1" xfId="0" applyFont="1" applyFill="1" applyBorder="1" applyAlignment="1">
      <alignment horizontal="center" vertical="center"/>
    </xf>
    <xf numFmtId="165" fontId="75" fillId="8" borderId="1" xfId="0" applyNumberFormat="1" applyFont="1" applyFill="1" applyBorder="1" applyAlignment="1">
      <alignment vertical="center"/>
    </xf>
    <xf numFmtId="0" fontId="75" fillId="8" borderId="1" xfId="0" applyFont="1" applyFill="1" applyBorder="1" applyAlignment="1">
      <alignment horizontal="left" vertical="center" wrapText="1"/>
    </xf>
    <xf numFmtId="0" fontId="10" fillId="8" borderId="1" xfId="0" applyFont="1" applyFill="1" applyBorder="1" applyAlignment="1">
      <alignment vertical="center" wrapText="1"/>
    </xf>
    <xf numFmtId="0" fontId="49" fillId="8" borderId="1" xfId="0" applyFont="1" applyFill="1" applyBorder="1" applyAlignment="1">
      <alignment horizontal="left" vertical="center" wrapText="1"/>
    </xf>
    <xf numFmtId="0" fontId="52" fillId="2" borderId="0" xfId="0" applyFont="1" applyFill="1" applyAlignment="1">
      <alignment vertical="center"/>
    </xf>
    <xf numFmtId="0" fontId="49" fillId="7" borderId="1" xfId="0" applyFont="1" applyFill="1" applyBorder="1" applyAlignment="1">
      <alignment horizontal="center" vertical="center" wrapText="1"/>
    </xf>
    <xf numFmtId="0" fontId="52" fillId="7" borderId="1" xfId="0" applyFont="1" applyFill="1" applyBorder="1" applyAlignment="1">
      <alignment horizontal="center" vertical="center"/>
    </xf>
    <xf numFmtId="0" fontId="52" fillId="6" borderId="1" xfId="0" applyFont="1" applyFill="1" applyBorder="1" applyAlignment="1">
      <alignment horizontal="center" vertical="center"/>
    </xf>
    <xf numFmtId="0" fontId="49" fillId="8" borderId="1" xfId="0" applyFont="1" applyFill="1" applyBorder="1" applyAlignment="1">
      <alignment vertical="center"/>
    </xf>
    <xf numFmtId="0" fontId="52" fillId="5" borderId="1" xfId="0" applyFont="1" applyFill="1" applyBorder="1" applyAlignment="1">
      <alignment horizontal="center" vertical="center"/>
    </xf>
    <xf numFmtId="0" fontId="52" fillId="5" borderId="1" xfId="0" applyFont="1" applyFill="1" applyBorder="1" applyAlignment="1">
      <alignment horizontal="center" vertical="center" wrapText="1"/>
    </xf>
    <xf numFmtId="0" fontId="52" fillId="5" borderId="1" xfId="0" applyFont="1" applyFill="1" applyBorder="1" applyAlignment="1">
      <alignment vertical="center" wrapText="1"/>
    </xf>
    <xf numFmtId="165" fontId="49" fillId="5" borderId="1" xfId="1" applyNumberFormat="1" applyFont="1" applyFill="1" applyBorder="1" applyAlignment="1">
      <alignment horizontal="center" vertical="center"/>
    </xf>
    <xf numFmtId="0" fontId="46" fillId="2" borderId="1" xfId="0" applyFont="1" applyFill="1" applyBorder="1" applyAlignment="1">
      <alignment vertical="center"/>
    </xf>
    <xf numFmtId="0" fontId="52" fillId="2" borderId="1" xfId="0" applyFont="1" applyFill="1" applyBorder="1" applyAlignment="1">
      <alignment horizontal="right" vertical="center"/>
    </xf>
    <xf numFmtId="0" fontId="52" fillId="6" borderId="1" xfId="0" applyFont="1" applyFill="1" applyBorder="1" applyAlignment="1">
      <alignment horizontal="right" vertical="center"/>
    </xf>
    <xf numFmtId="0" fontId="75" fillId="8" borderId="1" xfId="0" applyFont="1" applyFill="1" applyBorder="1" applyAlignment="1">
      <alignment horizontal="right" vertical="center"/>
    </xf>
    <xf numFmtId="0" fontId="49" fillId="5" borderId="1" xfId="0" applyFont="1" applyFill="1" applyBorder="1" applyAlignment="1">
      <alignment horizontal="center" vertical="center"/>
    </xf>
    <xf numFmtId="3" fontId="3" fillId="0" borderId="1" xfId="0" applyNumberFormat="1" applyFont="1" applyBorder="1"/>
    <xf numFmtId="0" fontId="77" fillId="2" borderId="1" xfId="0" applyFont="1" applyFill="1" applyBorder="1" applyAlignment="1">
      <alignment horizontal="center" vertical="center"/>
    </xf>
    <xf numFmtId="0" fontId="77" fillId="0" borderId="1" xfId="0" applyFont="1" applyBorder="1" applyAlignment="1">
      <alignment horizontal="center" vertical="center"/>
    </xf>
    <xf numFmtId="0" fontId="77" fillId="0" borderId="1" xfId="0" applyFont="1" applyBorder="1" applyAlignment="1">
      <alignment vertical="center"/>
    </xf>
    <xf numFmtId="165" fontId="75" fillId="8" borderId="1" xfId="1" applyNumberFormat="1" applyFont="1" applyFill="1" applyBorder="1" applyAlignment="1">
      <alignment horizontal="right" vertical="center" wrapText="1"/>
    </xf>
    <xf numFmtId="165" fontId="52" fillId="2" borderId="1" xfId="1" applyNumberFormat="1" applyFont="1" applyFill="1" applyBorder="1" applyAlignment="1">
      <alignment horizontal="right" vertical="center" wrapText="1"/>
    </xf>
    <xf numFmtId="165" fontId="52" fillId="7" borderId="1" xfId="1" applyNumberFormat="1" applyFont="1" applyFill="1" applyBorder="1" applyAlignment="1">
      <alignment horizontal="right" vertical="center" wrapText="1"/>
    </xf>
    <xf numFmtId="165" fontId="52" fillId="6" borderId="1" xfId="1" applyNumberFormat="1" applyFont="1" applyFill="1" applyBorder="1" applyAlignment="1">
      <alignment horizontal="right" vertical="center" wrapText="1"/>
    </xf>
    <xf numFmtId="165" fontId="52" fillId="6" borderId="1" xfId="1" applyNumberFormat="1" applyFont="1" applyFill="1" applyBorder="1" applyAlignment="1">
      <alignment horizontal="right" vertical="center" wrapText="1"/>
    </xf>
    <xf numFmtId="165" fontId="52" fillId="7" borderId="1" xfId="1" applyNumberFormat="1" applyFont="1" applyFill="1" applyBorder="1" applyAlignment="1">
      <alignment horizontal="right" vertical="center"/>
    </xf>
    <xf numFmtId="165" fontId="52" fillId="5" borderId="1" xfId="1" applyNumberFormat="1" applyFont="1" applyFill="1" applyBorder="1" applyAlignment="1">
      <alignment horizontal="right" vertical="center"/>
    </xf>
    <xf numFmtId="165" fontId="49" fillId="6" borderId="1" xfId="1" applyNumberFormat="1" applyFont="1" applyFill="1" applyBorder="1" applyAlignment="1">
      <alignment horizontal="right" vertical="center" wrapText="1"/>
    </xf>
    <xf numFmtId="165" fontId="52" fillId="5" borderId="1" xfId="1" applyNumberFormat="1" applyFont="1" applyFill="1" applyBorder="1" applyAlignment="1">
      <alignment horizontal="right" vertical="center" wrapText="1"/>
    </xf>
    <xf numFmtId="165" fontId="49" fillId="5" borderId="1" xfId="1" applyNumberFormat="1" applyFont="1" applyFill="1" applyBorder="1" applyAlignment="1">
      <alignment horizontal="right" vertical="center"/>
    </xf>
    <xf numFmtId="165" fontId="52" fillId="0" borderId="0" xfId="0" applyNumberFormat="1" applyFont="1" applyFill="1" applyAlignment="1">
      <alignment vertical="top"/>
    </xf>
    <xf numFmtId="0" fontId="75" fillId="8" borderId="1" xfId="0" applyFont="1" applyFill="1" applyBorder="1" applyAlignment="1">
      <alignment horizontal="center" vertical="center" wrapText="1"/>
    </xf>
    <xf numFmtId="165" fontId="49" fillId="7" borderId="1" xfId="0" applyNumberFormat="1" applyFont="1" applyFill="1" applyBorder="1" applyAlignment="1">
      <alignment horizontal="right" vertical="center"/>
    </xf>
    <xf numFmtId="3" fontId="52" fillId="0" borderId="0" xfId="0" applyNumberFormat="1" applyFont="1" applyFill="1" applyAlignment="1">
      <alignment vertical="top"/>
    </xf>
    <xf numFmtId="3" fontId="22" fillId="0" borderId="1" xfId="0" applyNumberFormat="1" applyFont="1" applyBorder="1" applyAlignment="1">
      <alignment horizontal="center" vertical="center" wrapText="1"/>
    </xf>
    <xf numFmtId="3" fontId="75" fillId="8" borderId="1" xfId="0" applyNumberFormat="1" applyFont="1" applyFill="1" applyBorder="1" applyAlignment="1">
      <alignment vertical="center" wrapText="1"/>
    </xf>
    <xf numFmtId="3" fontId="52" fillId="6" borderId="1" xfId="0" applyNumberFormat="1" applyFont="1" applyFill="1" applyBorder="1" applyAlignment="1">
      <alignment vertical="center" wrapText="1"/>
    </xf>
    <xf numFmtId="3" fontId="75" fillId="8" borderId="1" xfId="0" applyNumberFormat="1" applyFont="1" applyFill="1" applyBorder="1" applyAlignment="1">
      <alignment vertical="center"/>
    </xf>
    <xf numFmtId="3" fontId="52" fillId="0" borderId="1" xfId="0" applyNumberFormat="1" applyFont="1" applyFill="1" applyBorder="1" applyAlignment="1">
      <alignment vertical="center"/>
    </xf>
    <xf numFmtId="3" fontId="49" fillId="7" borderId="1" xfId="0" applyNumberFormat="1" applyFont="1" applyFill="1" applyBorder="1" applyAlignment="1">
      <alignment vertical="center"/>
    </xf>
    <xf numFmtId="3" fontId="52" fillId="6" borderId="1" xfId="0" applyNumberFormat="1" applyFont="1" applyFill="1" applyBorder="1" applyAlignment="1">
      <alignment vertical="center"/>
    </xf>
    <xf numFmtId="3" fontId="52" fillId="6" borderId="1" xfId="0" applyNumberFormat="1" applyFont="1" applyFill="1" applyBorder="1" applyAlignment="1">
      <alignment vertical="center"/>
    </xf>
    <xf numFmtId="3" fontId="49" fillId="7" borderId="1" xfId="1" applyNumberFormat="1" applyFont="1" applyFill="1" applyBorder="1" applyAlignment="1">
      <alignment vertical="center"/>
    </xf>
    <xf numFmtId="3" fontId="49" fillId="6" borderId="1" xfId="1" applyNumberFormat="1" applyFont="1" applyFill="1" applyBorder="1" applyAlignment="1">
      <alignment vertical="center"/>
    </xf>
    <xf numFmtId="3" fontId="49" fillId="6" borderId="1" xfId="0" applyNumberFormat="1" applyFont="1" applyFill="1" applyBorder="1" applyAlignment="1">
      <alignment vertical="center"/>
    </xf>
    <xf numFmtId="3" fontId="52" fillId="2" borderId="1" xfId="0" applyNumberFormat="1" applyFont="1" applyFill="1" applyBorder="1" applyAlignment="1">
      <alignment vertical="center"/>
    </xf>
    <xf numFmtId="3" fontId="49" fillId="0" borderId="1" xfId="0" applyNumberFormat="1" applyFont="1" applyFill="1" applyBorder="1" applyAlignment="1">
      <alignment vertical="center"/>
    </xf>
    <xf numFmtId="165" fontId="75" fillId="8" borderId="1" xfId="1" applyNumberFormat="1" applyFont="1" applyFill="1" applyBorder="1" applyAlignment="1">
      <alignment horizontal="right" vertical="center"/>
    </xf>
    <xf numFmtId="3" fontId="74" fillId="0" borderId="1" xfId="0" applyNumberFormat="1" applyFont="1" applyFill="1" applyBorder="1" applyAlignment="1">
      <alignment vertical="center" wrapText="1"/>
    </xf>
    <xf numFmtId="0" fontId="52" fillId="7" borderId="1" xfId="0" applyFont="1" applyFill="1" applyBorder="1" applyAlignment="1">
      <alignment horizontal="right" vertical="center"/>
    </xf>
    <xf numFmtId="0" fontId="52" fillId="6" borderId="1" xfId="0" applyFont="1" applyFill="1" applyBorder="1" applyAlignment="1">
      <alignment horizontal="right" vertical="center"/>
    </xf>
    <xf numFmtId="165" fontId="75" fillId="8" borderId="1" xfId="0" applyNumberFormat="1" applyFont="1" applyFill="1" applyBorder="1" applyAlignment="1">
      <alignment horizontal="right" vertical="center"/>
    </xf>
    <xf numFmtId="165" fontId="49" fillId="6" borderId="1" xfId="0" applyNumberFormat="1" applyFont="1" applyFill="1" applyBorder="1" applyAlignment="1">
      <alignment horizontal="right" vertical="center"/>
    </xf>
    <xf numFmtId="165" fontId="75" fillId="0" borderId="1" xfId="0" applyNumberFormat="1" applyFont="1" applyFill="1" applyBorder="1" applyAlignment="1">
      <alignment horizontal="right" vertical="center"/>
    </xf>
    <xf numFmtId="165" fontId="49" fillId="0" borderId="1" xfId="0" applyNumberFormat="1" applyFont="1" applyFill="1" applyBorder="1" applyAlignment="1">
      <alignment horizontal="right" vertical="center"/>
    </xf>
    <xf numFmtId="165" fontId="75" fillId="8" borderId="1" xfId="0" applyNumberFormat="1" applyFont="1" applyFill="1" applyBorder="1" applyAlignment="1">
      <alignment horizontal="right" vertical="center" wrapText="1"/>
    </xf>
    <xf numFmtId="165" fontId="49" fillId="6" borderId="1" xfId="0" applyNumberFormat="1" applyFont="1" applyFill="1" applyBorder="1" applyAlignment="1">
      <alignment horizontal="right" vertical="center" wrapText="1"/>
    </xf>
    <xf numFmtId="3" fontId="105" fillId="0" borderId="1" xfId="0" applyNumberFormat="1" applyFont="1" applyBorder="1" applyAlignment="1">
      <alignment horizontal="right" vertical="center" wrapText="1"/>
    </xf>
    <xf numFmtId="3" fontId="102" fillId="0" borderId="1" xfId="0" applyNumberFormat="1" applyFont="1" applyBorder="1" applyAlignment="1">
      <alignment horizontal="right" vertical="center" wrapText="1"/>
    </xf>
    <xf numFmtId="0" fontId="52" fillId="0" borderId="2" xfId="0" applyFont="1" applyFill="1" applyBorder="1" applyAlignment="1">
      <alignment horizontal="center" vertical="center"/>
    </xf>
    <xf numFmtId="0" fontId="52" fillId="8" borderId="1" xfId="0" applyFont="1" applyFill="1" applyBorder="1" applyAlignment="1">
      <alignment horizontal="center" vertical="center"/>
    </xf>
    <xf numFmtId="0" fontId="52" fillId="8" borderId="1" xfId="0" applyFont="1" applyFill="1" applyBorder="1" applyAlignment="1">
      <alignment vertical="center" wrapText="1"/>
    </xf>
    <xf numFmtId="0" fontId="52" fillId="2" borderId="1" xfId="0" applyFont="1" applyFill="1" applyBorder="1" applyAlignment="1">
      <alignment vertical="center" wrapText="1"/>
    </xf>
    <xf numFmtId="0" fontId="52" fillId="2" borderId="1" xfId="0" applyFont="1" applyFill="1" applyBorder="1" applyAlignment="1">
      <alignment horizontal="center" vertical="center" wrapText="1"/>
    </xf>
    <xf numFmtId="165" fontId="52" fillId="2" borderId="1" xfId="1" applyNumberFormat="1" applyFont="1" applyFill="1" applyBorder="1" applyAlignment="1">
      <alignment horizontal="right" vertical="center" wrapText="1"/>
    </xf>
    <xf numFmtId="165" fontId="52" fillId="2" borderId="1" xfId="1" applyNumberFormat="1" applyFont="1" applyFill="1" applyBorder="1" applyAlignment="1">
      <alignment horizontal="center" vertical="center"/>
    </xf>
    <xf numFmtId="3" fontId="74" fillId="0" borderId="1" xfId="0" applyNumberFormat="1" applyFont="1" applyFill="1" applyBorder="1" applyAlignment="1">
      <alignment vertical="center"/>
    </xf>
    <xf numFmtId="0" fontId="52" fillId="0" borderId="1" xfId="0" applyFont="1" applyFill="1" applyBorder="1" applyAlignment="1">
      <alignment horizontal="center" vertical="top"/>
    </xf>
    <xf numFmtId="0" fontId="52" fillId="0" borderId="1" xfId="0" applyFont="1" applyFill="1" applyBorder="1" applyAlignment="1">
      <alignment horizontal="right" vertical="center"/>
    </xf>
    <xf numFmtId="0" fontId="46" fillId="0" borderId="1" xfId="0" applyFont="1" applyBorder="1" applyAlignment="1">
      <alignment horizontal="center" vertical="center" wrapText="1"/>
    </xf>
    <xf numFmtId="3" fontId="52" fillId="0" borderId="1" xfId="0" applyNumberFormat="1" applyFont="1" applyFill="1" applyBorder="1" applyAlignment="1">
      <alignment vertical="center"/>
    </xf>
    <xf numFmtId="0" fontId="52" fillId="8" borderId="1" xfId="0" applyFont="1" applyFill="1" applyBorder="1" applyAlignment="1">
      <alignment horizontal="center" vertical="center" wrapText="1"/>
    </xf>
    <xf numFmtId="165" fontId="52" fillId="8" borderId="1" xfId="1" applyNumberFormat="1" applyFont="1" applyFill="1" applyBorder="1" applyAlignment="1">
      <alignment horizontal="right" vertical="center" wrapText="1"/>
    </xf>
    <xf numFmtId="165" fontId="52" fillId="8" borderId="1" xfId="1" applyNumberFormat="1" applyFont="1" applyFill="1" applyBorder="1" applyAlignment="1">
      <alignment horizontal="center" vertical="center"/>
    </xf>
    <xf numFmtId="165" fontId="49" fillId="2" borderId="1" xfId="1" applyNumberFormat="1" applyFont="1" applyFill="1" applyBorder="1" applyAlignment="1">
      <alignment horizontal="center" vertical="center"/>
    </xf>
    <xf numFmtId="0" fontId="52" fillId="2" borderId="2" xfId="0" applyFont="1" applyFill="1" applyBorder="1" applyAlignment="1">
      <alignment horizontal="left" vertical="center" wrapText="1"/>
    </xf>
    <xf numFmtId="0" fontId="98" fillId="2" borderId="1" xfId="0" applyFont="1" applyFill="1" applyBorder="1" applyAlignment="1">
      <alignment horizontal="left" vertical="center" wrapText="1"/>
    </xf>
    <xf numFmtId="0" fontId="3" fillId="0" borderId="3" xfId="0" applyFont="1" applyBorder="1"/>
    <xf numFmtId="0" fontId="46" fillId="0" borderId="3" xfId="0" applyFont="1" applyBorder="1"/>
    <xf numFmtId="172" fontId="32" fillId="0" borderId="1" xfId="1" applyNumberFormat="1" applyFont="1" applyBorder="1" applyAlignment="1">
      <alignment horizontal="center" vertical="center" wrapText="1"/>
    </xf>
    <xf numFmtId="0" fontId="3" fillId="2" borderId="1" xfId="0" applyFont="1" applyFill="1" applyBorder="1"/>
    <xf numFmtId="165" fontId="52" fillId="0" borderId="0" xfId="0" applyNumberFormat="1" applyFont="1" applyFill="1" applyBorder="1" applyAlignment="1">
      <alignment vertical="top"/>
    </xf>
    <xf numFmtId="3" fontId="75" fillId="2" borderId="1" xfId="0" applyNumberFormat="1" applyFont="1" applyFill="1" applyBorder="1" applyAlignment="1">
      <alignment vertical="center" wrapText="1"/>
    </xf>
    <xf numFmtId="3" fontId="52" fillId="2" borderId="1" xfId="0" applyNumberFormat="1" applyFont="1" applyFill="1" applyBorder="1" applyAlignment="1">
      <alignment vertical="center" wrapText="1"/>
    </xf>
    <xf numFmtId="165" fontId="49" fillId="2" borderId="1" xfId="0" applyNumberFormat="1" applyFont="1" applyFill="1" applyBorder="1" applyAlignment="1">
      <alignment horizontal="right" vertical="center" wrapText="1"/>
    </xf>
    <xf numFmtId="0" fontId="52" fillId="2" borderId="0" xfId="0" applyFont="1" applyFill="1" applyBorder="1" applyAlignment="1">
      <alignment vertical="center" wrapText="1"/>
    </xf>
    <xf numFmtId="0" fontId="52" fillId="2" borderId="1" xfId="0" applyFont="1" applyFill="1" applyBorder="1" applyAlignment="1">
      <alignment horizontal="center" vertical="top"/>
    </xf>
    <xf numFmtId="0" fontId="52" fillId="2" borderId="1" xfId="0" applyFont="1" applyFill="1" applyBorder="1" applyAlignment="1">
      <alignment vertical="center"/>
    </xf>
    <xf numFmtId="165" fontId="75" fillId="2" borderId="1" xfId="0" applyNumberFormat="1" applyFont="1" applyFill="1" applyBorder="1" applyAlignment="1">
      <alignment horizontal="right" vertical="center"/>
    </xf>
    <xf numFmtId="0" fontId="49" fillId="9" borderId="1" xfId="0" applyFont="1" applyFill="1" applyBorder="1" applyAlignment="1">
      <alignment horizontal="center" vertical="center"/>
    </xf>
    <xf numFmtId="0" fontId="49" fillId="9" borderId="1" xfId="0" applyFont="1" applyFill="1" applyBorder="1" applyAlignment="1">
      <alignment horizontal="left" vertical="center" wrapText="1"/>
    </xf>
    <xf numFmtId="0" fontId="52" fillId="9" borderId="1" xfId="0" applyFont="1" applyFill="1" applyBorder="1" applyAlignment="1">
      <alignment horizontal="center" vertical="center" wrapText="1"/>
    </xf>
    <xf numFmtId="0" fontId="52" fillId="9" borderId="1" xfId="0" applyFont="1" applyFill="1" applyBorder="1" applyAlignment="1">
      <alignment vertical="center" wrapText="1"/>
    </xf>
    <xf numFmtId="165" fontId="52" fillId="9" borderId="1" xfId="1" applyNumberFormat="1" applyFont="1" applyFill="1" applyBorder="1" applyAlignment="1">
      <alignment horizontal="right" vertical="center" wrapText="1"/>
    </xf>
    <xf numFmtId="165" fontId="49" fillId="9" borderId="1" xfId="1" applyNumberFormat="1" applyFont="1" applyFill="1" applyBorder="1" applyAlignment="1">
      <alignment vertical="center" wrapText="1"/>
    </xf>
    <xf numFmtId="3" fontId="52" fillId="9" borderId="1" xfId="0" applyNumberFormat="1" applyFont="1" applyFill="1" applyBorder="1" applyAlignment="1">
      <alignment vertical="center" wrapText="1"/>
    </xf>
    <xf numFmtId="165" fontId="49" fillId="9" borderId="1" xfId="0" applyNumberFormat="1" applyFont="1" applyFill="1" applyBorder="1" applyAlignment="1">
      <alignment horizontal="right" vertical="center" wrapText="1"/>
    </xf>
    <xf numFmtId="3" fontId="52" fillId="8" borderId="1" xfId="0" applyNumberFormat="1" applyFont="1" applyFill="1" applyBorder="1" applyAlignment="1">
      <alignment vertical="center" wrapText="1"/>
    </xf>
    <xf numFmtId="165" fontId="49" fillId="8" borderId="1" xfId="0" applyNumberFormat="1" applyFont="1" applyFill="1" applyBorder="1" applyAlignment="1">
      <alignment horizontal="right" vertical="center" wrapText="1"/>
    </xf>
    <xf numFmtId="3" fontId="75" fillId="2" borderId="1" xfId="1" applyNumberFormat="1" applyFont="1" applyFill="1" applyBorder="1" applyAlignment="1">
      <alignment vertical="center"/>
    </xf>
    <xf numFmtId="0" fontId="49" fillId="2" borderId="1" xfId="0" applyFont="1" applyFill="1" applyBorder="1" applyAlignment="1">
      <alignment horizontal="left" vertical="center"/>
    </xf>
    <xf numFmtId="165" fontId="52" fillId="5" borderId="1" xfId="1" applyNumberFormat="1" applyFont="1" applyFill="1" applyBorder="1" applyAlignment="1">
      <alignment horizontal="center" vertical="center"/>
    </xf>
    <xf numFmtId="0" fontId="46" fillId="2" borderId="1" xfId="0" applyFont="1" applyFill="1" applyBorder="1" applyAlignment="1">
      <alignment vertical="center" wrapText="1"/>
    </xf>
    <xf numFmtId="3" fontId="75" fillId="2" borderId="1" xfId="0" applyNumberFormat="1" applyFont="1" applyFill="1" applyBorder="1" applyAlignment="1">
      <alignment horizontal="center" vertical="center" wrapText="1"/>
    </xf>
    <xf numFmtId="165" fontId="52" fillId="8" borderId="1" xfId="1" applyNumberFormat="1" applyFont="1" applyFill="1" applyBorder="1" applyAlignment="1">
      <alignment horizontal="left" vertical="center"/>
    </xf>
    <xf numFmtId="0" fontId="52" fillId="2" borderId="2" xfId="0" applyFont="1" applyFill="1" applyBorder="1" applyAlignment="1">
      <alignment horizontal="center" vertical="center"/>
    </xf>
    <xf numFmtId="0" fontId="52" fillId="2" borderId="2" xfId="0" applyFont="1" applyFill="1" applyBorder="1" applyAlignment="1">
      <alignment horizontal="left" vertical="center" wrapText="1"/>
    </xf>
    <xf numFmtId="0" fontId="52" fillId="2" borderId="1" xfId="0" applyFont="1" applyFill="1" applyBorder="1" applyAlignment="1">
      <alignment horizontal="center" vertical="center"/>
    </xf>
    <xf numFmtId="0" fontId="52"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165" fontId="22" fillId="2" borderId="3" xfId="1" applyNumberFormat="1" applyFont="1" applyFill="1" applyBorder="1" applyAlignment="1">
      <alignment horizontal="center" vertical="center" wrapText="1"/>
    </xf>
    <xf numFmtId="172" fontId="22" fillId="2" borderId="1" xfId="1" applyNumberFormat="1" applyFont="1" applyFill="1" applyBorder="1" applyAlignment="1">
      <alignment horizontal="center" vertical="center" wrapText="1"/>
    </xf>
    <xf numFmtId="0" fontId="46" fillId="2" borderId="0" xfId="0" applyFont="1" applyFill="1"/>
    <xf numFmtId="165" fontId="46" fillId="2" borderId="3" xfId="1" applyNumberFormat="1" applyFont="1" applyFill="1" applyBorder="1" applyAlignment="1">
      <alignment horizontal="center" vertical="center" wrapText="1"/>
    </xf>
    <xf numFmtId="165" fontId="46" fillId="2" borderId="1" xfId="1" applyNumberFormat="1" applyFont="1" applyFill="1" applyBorder="1" applyAlignment="1">
      <alignment horizontal="center" vertical="center" wrapText="1"/>
    </xf>
    <xf numFmtId="165" fontId="22" fillId="2" borderId="1" xfId="1" applyNumberFormat="1" applyFont="1" applyFill="1" applyBorder="1" applyAlignment="1">
      <alignment vertical="center"/>
    </xf>
    <xf numFmtId="0" fontId="98" fillId="2" borderId="1" xfId="0" applyFont="1" applyFill="1" applyBorder="1" applyAlignment="1">
      <alignment horizontal="center" vertical="center" wrapText="1"/>
    </xf>
    <xf numFmtId="165" fontId="22" fillId="2" borderId="1" xfId="1" applyNumberFormat="1" applyFont="1" applyFill="1" applyBorder="1" applyAlignment="1">
      <alignment horizontal="right" vertical="center" wrapText="1"/>
    </xf>
    <xf numFmtId="165" fontId="46" fillId="2" borderId="3" xfId="1" quotePrefix="1" applyNumberFormat="1" applyFont="1" applyFill="1" applyBorder="1" applyAlignment="1">
      <alignment horizontal="center" vertical="center" wrapText="1"/>
    </xf>
    <xf numFmtId="0" fontId="46" fillId="2" borderId="1" xfId="0" applyFont="1" applyFill="1" applyBorder="1" applyAlignment="1">
      <alignment horizontal="center" vertical="center"/>
    </xf>
    <xf numFmtId="165" fontId="3" fillId="2" borderId="1" xfId="1" applyNumberFormat="1" applyFont="1" applyFill="1" applyBorder="1"/>
    <xf numFmtId="0" fontId="99" fillId="2" borderId="1" xfId="0" applyFont="1" applyFill="1" applyBorder="1" applyAlignment="1">
      <alignment horizontal="center" vertical="center" wrapText="1"/>
    </xf>
    <xf numFmtId="0" fontId="37" fillId="0" borderId="0" xfId="11"/>
    <xf numFmtId="0" fontId="37" fillId="2" borderId="0" xfId="11" applyFill="1"/>
    <xf numFmtId="0" fontId="3" fillId="0" borderId="3" xfId="0" applyFont="1" applyBorder="1"/>
    <xf numFmtId="0" fontId="3" fillId="0" borderId="1" xfId="0" applyFont="1" applyBorder="1"/>
    <xf numFmtId="0" fontId="32" fillId="0" borderId="1" xfId="0" applyFont="1" applyFill="1" applyBorder="1" applyAlignment="1">
      <alignment horizontal="left" vertical="center" wrapText="1"/>
    </xf>
    <xf numFmtId="0" fontId="75" fillId="8" borderId="5" xfId="0" applyFont="1" applyFill="1" applyBorder="1" applyAlignment="1">
      <alignment horizontal="center" vertical="center"/>
    </xf>
    <xf numFmtId="0" fontId="75" fillId="8" borderId="5" xfId="0" applyFont="1" applyFill="1" applyBorder="1" applyAlignment="1">
      <alignment horizontal="left" vertical="center" wrapText="1"/>
    </xf>
    <xf numFmtId="0" fontId="52" fillId="2" borderId="2" xfId="0" applyFont="1" applyFill="1" applyBorder="1" applyAlignment="1">
      <alignment horizontal="center" vertical="center"/>
    </xf>
    <xf numFmtId="0" fontId="52" fillId="2" borderId="5" xfId="0" applyFont="1" applyFill="1" applyBorder="1" applyAlignment="1">
      <alignment horizontal="center" vertical="center"/>
    </xf>
    <xf numFmtId="0" fontId="52" fillId="2" borderId="2" xfId="0" applyFont="1" applyFill="1" applyBorder="1" applyAlignment="1">
      <alignment horizontal="left" vertical="center" wrapText="1"/>
    </xf>
    <xf numFmtId="0" fontId="52" fillId="2" borderId="5" xfId="0" applyFont="1" applyFill="1" applyBorder="1" applyAlignment="1">
      <alignment horizontal="left" vertical="center" wrapText="1"/>
    </xf>
    <xf numFmtId="165" fontId="49" fillId="6" borderId="2" xfId="1" applyNumberFormat="1" applyFont="1" applyFill="1" applyBorder="1" applyAlignment="1">
      <alignment horizontal="center" vertical="center" wrapText="1"/>
    </xf>
    <xf numFmtId="3" fontId="52" fillId="6" borderId="2" xfId="0" applyNumberFormat="1" applyFont="1" applyFill="1" applyBorder="1" applyAlignment="1">
      <alignment horizontal="center" vertical="center" wrapText="1"/>
    </xf>
    <xf numFmtId="165" fontId="49" fillId="6" borderId="2" xfId="0" applyNumberFormat="1" applyFont="1" applyFill="1" applyBorder="1" applyAlignment="1">
      <alignment horizontal="center" vertical="center" wrapText="1"/>
    </xf>
    <xf numFmtId="0" fontId="52" fillId="6" borderId="2" xfId="0" applyFont="1" applyFill="1" applyBorder="1" applyAlignment="1">
      <alignment horizontal="center" vertical="center" wrapText="1"/>
    </xf>
    <xf numFmtId="0" fontId="52" fillId="0" borderId="2" xfId="0" applyFont="1" applyFill="1" applyBorder="1" applyAlignment="1">
      <alignment horizontal="center" vertical="center"/>
    </xf>
    <xf numFmtId="165" fontId="52" fillId="6" borderId="2" xfId="1" applyNumberFormat="1" applyFont="1" applyFill="1" applyBorder="1" applyAlignment="1">
      <alignment horizontal="center" vertical="center" wrapText="1"/>
    </xf>
    <xf numFmtId="0" fontId="49" fillId="6" borderId="1" xfId="0" applyFont="1" applyFill="1" applyBorder="1" applyAlignment="1">
      <alignment horizontal="center" vertical="center"/>
    </xf>
    <xf numFmtId="0" fontId="49" fillId="6" borderId="1" xfId="0" applyFont="1" applyFill="1" applyBorder="1" applyAlignment="1">
      <alignment horizontal="left" vertical="center" wrapText="1"/>
    </xf>
    <xf numFmtId="0" fontId="52" fillId="2" borderId="1" xfId="0" applyFont="1" applyFill="1" applyBorder="1" applyAlignment="1">
      <alignment horizontal="center" vertical="center"/>
    </xf>
    <xf numFmtId="0" fontId="52" fillId="2" borderId="1" xfId="0" applyFont="1" applyFill="1" applyBorder="1" applyAlignment="1">
      <alignment horizontal="left" vertical="center" wrapText="1"/>
    </xf>
    <xf numFmtId="0" fontId="46" fillId="0" borderId="1" xfId="0" applyFont="1" applyBorder="1" applyAlignment="1">
      <alignment horizontal="left" vertical="center" wrapText="1"/>
    </xf>
    <xf numFmtId="0" fontId="52" fillId="2" borderId="2" xfId="0" applyFont="1" applyFill="1" applyBorder="1" applyAlignment="1">
      <alignment horizontal="center" vertical="center" wrapText="1"/>
    </xf>
    <xf numFmtId="0" fontId="52" fillId="2" borderId="1" xfId="0" applyFont="1" applyFill="1" applyBorder="1" applyAlignment="1">
      <alignment vertical="center" wrapText="1"/>
    </xf>
    <xf numFmtId="0" fontId="52" fillId="0" borderId="1" xfId="0" applyFont="1" applyFill="1" applyBorder="1" applyAlignment="1">
      <alignment horizontal="center" vertical="center"/>
    </xf>
    <xf numFmtId="0" fontId="75" fillId="8" borderId="1" xfId="0" applyFont="1" applyFill="1" applyBorder="1" applyAlignment="1">
      <alignment horizontal="center" vertical="center"/>
    </xf>
    <xf numFmtId="0" fontId="75" fillId="8" borderId="1" xfId="0" applyFont="1" applyFill="1" applyBorder="1" applyAlignment="1">
      <alignment vertical="center" wrapText="1"/>
    </xf>
    <xf numFmtId="0" fontId="52" fillId="6" borderId="1" xfId="0" applyFont="1" applyFill="1" applyBorder="1" applyAlignment="1">
      <alignment horizontal="center" vertical="center"/>
    </xf>
    <xf numFmtId="0" fontId="52" fillId="0" borderId="1" xfId="0" applyFont="1" applyFill="1" applyBorder="1" applyAlignment="1">
      <alignment horizontal="center" vertical="top"/>
    </xf>
    <xf numFmtId="165" fontId="52" fillId="2" borderId="1" xfId="1" applyNumberFormat="1" applyFont="1" applyFill="1" applyBorder="1" applyAlignment="1">
      <alignment horizontal="center" vertical="center"/>
    </xf>
    <xf numFmtId="0" fontId="52" fillId="2" borderId="1" xfId="0" applyFont="1" applyFill="1" applyBorder="1" applyAlignment="1">
      <alignment horizontal="center" vertical="center" wrapText="1"/>
    </xf>
    <xf numFmtId="0" fontId="52" fillId="2" borderId="1" xfId="0" applyFont="1" applyFill="1" applyBorder="1" applyAlignment="1">
      <alignment horizontal="right" vertical="center" wrapText="1"/>
    </xf>
    <xf numFmtId="165" fontId="52" fillId="2" borderId="1" xfId="1" applyNumberFormat="1" applyFont="1" applyFill="1" applyBorder="1" applyAlignment="1">
      <alignment horizontal="right" vertical="center" wrapText="1"/>
    </xf>
    <xf numFmtId="3" fontId="52" fillId="0" borderId="1" xfId="0" applyNumberFormat="1" applyFont="1" applyFill="1" applyBorder="1" applyAlignment="1">
      <alignment vertical="center"/>
    </xf>
    <xf numFmtId="0" fontId="49" fillId="2" borderId="2" xfId="0" applyFont="1" applyFill="1" applyBorder="1" applyAlignment="1">
      <alignment vertical="center"/>
    </xf>
    <xf numFmtId="0" fontId="52" fillId="2" borderId="2" xfId="0" applyFont="1" applyFill="1" applyBorder="1" applyAlignment="1">
      <alignment vertical="center"/>
    </xf>
    <xf numFmtId="165" fontId="52" fillId="2" borderId="2" xfId="1" applyNumberFormat="1" applyFont="1" applyFill="1" applyBorder="1" applyAlignment="1">
      <alignment horizontal="right" vertical="center"/>
    </xf>
    <xf numFmtId="165" fontId="49" fillId="2" borderId="2" xfId="1" applyNumberFormat="1" applyFont="1" applyFill="1" applyBorder="1" applyAlignment="1">
      <alignment horizontal="right" vertical="center"/>
    </xf>
    <xf numFmtId="165" fontId="49" fillId="2" borderId="2" xfId="1" applyNumberFormat="1" applyFont="1" applyFill="1" applyBorder="1" applyAlignment="1">
      <alignment vertical="center"/>
    </xf>
    <xf numFmtId="3" fontId="75" fillId="2" borderId="2" xfId="1" applyNumberFormat="1" applyFont="1" applyFill="1" applyBorder="1" applyAlignment="1">
      <alignment vertical="center"/>
    </xf>
    <xf numFmtId="0" fontId="52" fillId="2" borderId="2" xfId="0" applyFont="1" applyFill="1" applyBorder="1" applyAlignment="1">
      <alignment horizontal="right" vertical="center"/>
    </xf>
    <xf numFmtId="0" fontId="52" fillId="2" borderId="2" xfId="0" applyFont="1" applyFill="1" applyBorder="1" applyAlignment="1">
      <alignment vertical="top"/>
    </xf>
    <xf numFmtId="0" fontId="46" fillId="0" borderId="2" xfId="0" applyFont="1" applyBorder="1" applyAlignment="1">
      <alignment horizontal="left" vertical="center" wrapText="1"/>
    </xf>
    <xf numFmtId="3" fontId="49" fillId="2" borderId="1" xfId="0" applyNumberFormat="1" applyFont="1" applyFill="1" applyBorder="1" applyAlignment="1">
      <alignment vertical="center"/>
    </xf>
    <xf numFmtId="0" fontId="49" fillId="2" borderId="1" xfId="0" applyFont="1" applyFill="1" applyBorder="1" applyAlignment="1">
      <alignment horizontal="right" vertical="center"/>
    </xf>
    <xf numFmtId="0" fontId="49" fillId="2" borderId="1" xfId="0" applyFont="1" applyFill="1" applyBorder="1" applyAlignment="1">
      <alignment vertical="top"/>
    </xf>
    <xf numFmtId="0" fontId="75" fillId="2" borderId="5" xfId="0" applyFont="1" applyFill="1" applyBorder="1" applyAlignment="1">
      <alignment horizontal="center" vertical="center"/>
    </xf>
    <xf numFmtId="0" fontId="52" fillId="2" borderId="2" xfId="0" applyFont="1" applyFill="1" applyBorder="1" applyAlignment="1">
      <alignment vertical="center" wrapText="1"/>
    </xf>
    <xf numFmtId="3" fontId="52" fillId="2" borderId="2" xfId="0" applyNumberFormat="1" applyFont="1" applyFill="1" applyBorder="1" applyAlignment="1">
      <alignment vertical="center" wrapText="1"/>
    </xf>
    <xf numFmtId="0" fontId="49" fillId="2" borderId="2" xfId="0" applyFont="1" applyFill="1" applyBorder="1" applyAlignment="1">
      <alignment horizontal="center" vertical="center"/>
    </xf>
    <xf numFmtId="165" fontId="49" fillId="2" borderId="2" xfId="1" applyNumberFormat="1" applyFont="1" applyFill="1" applyBorder="1" applyAlignment="1">
      <alignment horizontal="center" vertical="center"/>
    </xf>
    <xf numFmtId="165" fontId="49" fillId="2" borderId="2" xfId="0" applyNumberFormat="1" applyFont="1" applyFill="1" applyBorder="1" applyAlignment="1">
      <alignment horizontal="center" vertical="center"/>
    </xf>
    <xf numFmtId="165" fontId="49" fillId="6" borderId="2" xfId="1" quotePrefix="1" applyNumberFormat="1" applyFont="1" applyFill="1" applyBorder="1" applyAlignment="1">
      <alignment horizontal="center" vertical="center" wrapText="1"/>
    </xf>
    <xf numFmtId="165" fontId="49" fillId="8" borderId="1" xfId="1" applyNumberFormat="1" applyFont="1" applyFill="1" applyBorder="1" applyAlignment="1">
      <alignment horizontal="right" vertical="center" wrapText="1"/>
    </xf>
    <xf numFmtId="0" fontId="49" fillId="8" borderId="1" xfId="0" applyFont="1" applyFill="1" applyBorder="1" applyAlignment="1">
      <alignment horizontal="right" vertical="center"/>
    </xf>
    <xf numFmtId="0" fontId="49" fillId="8" borderId="1" xfId="0" applyFont="1" applyFill="1" applyBorder="1" applyAlignment="1">
      <alignment vertical="top"/>
    </xf>
    <xf numFmtId="165" fontId="52" fillId="2" borderId="2" xfId="1" applyNumberFormat="1" applyFont="1" applyFill="1" applyBorder="1" applyAlignment="1">
      <alignment horizontal="center" vertical="center" wrapText="1"/>
    </xf>
    <xf numFmtId="165" fontId="52" fillId="2" borderId="2" xfId="1" applyNumberFormat="1" applyFont="1" applyFill="1" applyBorder="1" applyAlignment="1">
      <alignment horizontal="center" vertical="center"/>
    </xf>
    <xf numFmtId="0" fontId="52" fillId="2" borderId="2" xfId="0" applyFont="1" applyFill="1" applyBorder="1" applyAlignment="1">
      <alignment horizontal="center" vertical="top"/>
    </xf>
    <xf numFmtId="165" fontId="52" fillId="8" borderId="1" xfId="1" applyNumberFormat="1" applyFont="1" applyFill="1" applyBorder="1" applyAlignment="1">
      <alignment vertical="center"/>
    </xf>
    <xf numFmtId="0" fontId="49" fillId="6" borderId="11" xfId="0" applyFont="1" applyFill="1" applyBorder="1" applyAlignment="1">
      <alignment horizontal="center" vertical="center"/>
    </xf>
    <xf numFmtId="165" fontId="49" fillId="6" borderId="2" xfId="1" applyNumberFormat="1" applyFont="1" applyFill="1" applyBorder="1" applyAlignment="1">
      <alignment horizontal="right" vertical="center"/>
    </xf>
    <xf numFmtId="3" fontId="52" fillId="6" borderId="2" xfId="0" applyNumberFormat="1" applyFont="1" applyFill="1" applyBorder="1" applyAlignment="1">
      <alignment vertical="center" wrapText="1"/>
    </xf>
    <xf numFmtId="165" fontId="49" fillId="6" borderId="2" xfId="0" applyNumberFormat="1" applyFont="1" applyFill="1" applyBorder="1" applyAlignment="1">
      <alignment horizontal="right" vertical="center" wrapText="1"/>
    </xf>
    <xf numFmtId="0" fontId="52" fillId="6" borderId="2" xfId="0" applyFont="1" applyFill="1" applyBorder="1" applyAlignment="1">
      <alignment vertical="center" wrapText="1"/>
    </xf>
    <xf numFmtId="0" fontId="52" fillId="5" borderId="2" xfId="0" applyFont="1" applyFill="1" applyBorder="1" applyAlignment="1">
      <alignment horizontal="right" vertical="center"/>
    </xf>
    <xf numFmtId="165" fontId="49" fillId="5" borderId="2" xfId="1" applyNumberFormat="1" applyFont="1" applyFill="1" applyBorder="1" applyAlignment="1">
      <alignment horizontal="right" vertical="center"/>
    </xf>
    <xf numFmtId="3" fontId="75" fillId="2" borderId="2" xfId="1" applyNumberFormat="1" applyFont="1" applyFill="1" applyBorder="1" applyAlignment="1">
      <alignment horizontal="right" vertical="center"/>
    </xf>
    <xf numFmtId="165" fontId="49" fillId="2" borderId="2" xfId="0" applyNumberFormat="1" applyFont="1" applyFill="1" applyBorder="1" applyAlignment="1">
      <alignment horizontal="right" vertical="center"/>
    </xf>
    <xf numFmtId="3" fontId="49" fillId="2" borderId="1" xfId="0" applyNumberFormat="1" applyFont="1" applyFill="1" applyBorder="1" applyAlignment="1">
      <alignment horizontal="right" vertical="center" wrapText="1"/>
    </xf>
    <xf numFmtId="165" fontId="75" fillId="8" borderId="1" xfId="1" applyNumberFormat="1" applyFont="1" applyFill="1" applyBorder="1" applyAlignment="1">
      <alignment vertical="center"/>
    </xf>
    <xf numFmtId="0" fontId="74" fillId="8" borderId="1" xfId="0" applyFont="1" applyFill="1" applyBorder="1" applyAlignment="1">
      <alignment horizontal="center" vertical="center" wrapText="1"/>
    </xf>
    <xf numFmtId="0" fontId="74" fillId="8" borderId="1" xfId="0" applyFont="1" applyFill="1" applyBorder="1" applyAlignment="1">
      <alignment vertical="center" wrapText="1"/>
    </xf>
    <xf numFmtId="165" fontId="52" fillId="0" borderId="1" xfId="0" applyNumberFormat="1" applyFont="1" applyFill="1" applyBorder="1" applyAlignment="1">
      <alignment horizontal="right" vertical="center"/>
    </xf>
    <xf numFmtId="165" fontId="49" fillId="2" borderId="1" xfId="0" applyNumberFormat="1" applyFont="1" applyFill="1" applyBorder="1" applyAlignment="1">
      <alignment horizontal="right" vertical="center"/>
    </xf>
    <xf numFmtId="165" fontId="49" fillId="2" borderId="2" xfId="0" applyNumberFormat="1" applyFont="1" applyFill="1" applyBorder="1" applyAlignment="1">
      <alignment horizontal="right" vertical="center" wrapText="1"/>
    </xf>
    <xf numFmtId="165" fontId="52" fillId="2" borderId="1" xfId="0" applyNumberFormat="1" applyFont="1" applyFill="1" applyBorder="1" applyAlignment="1">
      <alignment vertical="center" wrapText="1"/>
    </xf>
    <xf numFmtId="165" fontId="75" fillId="8" borderId="1" xfId="0" applyNumberFormat="1" applyFont="1" applyFill="1" applyBorder="1" applyAlignment="1">
      <alignment vertical="top"/>
    </xf>
    <xf numFmtId="0" fontId="74" fillId="5" borderId="1" xfId="0" applyFont="1" applyFill="1" applyBorder="1" applyAlignment="1">
      <alignment horizontal="center" vertical="center" wrapText="1"/>
    </xf>
    <xf numFmtId="0" fontId="74" fillId="5" borderId="1" xfId="0" applyFont="1" applyFill="1" applyBorder="1" applyAlignment="1">
      <alignment vertical="center"/>
    </xf>
    <xf numFmtId="165" fontId="74" fillId="5" borderId="1" xfId="1" applyNumberFormat="1" applyFont="1" applyFill="1" applyBorder="1" applyAlignment="1">
      <alignment horizontal="right" vertical="center" wrapText="1"/>
    </xf>
    <xf numFmtId="0" fontId="74" fillId="5" borderId="1" xfId="0" applyFont="1" applyFill="1" applyBorder="1" applyAlignment="1">
      <alignment horizontal="center" vertical="top"/>
    </xf>
    <xf numFmtId="165" fontId="74" fillId="5" borderId="1" xfId="1" applyNumberFormat="1" applyFont="1" applyFill="1" applyBorder="1" applyAlignment="1">
      <alignment horizontal="right" vertical="center"/>
    </xf>
    <xf numFmtId="3" fontId="74" fillId="8" borderId="1" xfId="0" applyNumberFormat="1" applyFont="1" applyFill="1" applyBorder="1" applyAlignment="1">
      <alignment vertical="center" wrapText="1"/>
    </xf>
    <xf numFmtId="165" fontId="52" fillId="8" borderId="1" xfId="0" applyNumberFormat="1" applyFont="1" applyFill="1" applyBorder="1" applyAlignment="1">
      <alignment horizontal="center" vertical="center" wrapText="1"/>
    </xf>
    <xf numFmtId="0" fontId="49" fillId="6" borderId="2" xfId="0" applyFont="1" applyFill="1" applyBorder="1" applyAlignment="1">
      <alignment horizontal="right" vertical="center" wrapText="1"/>
    </xf>
    <xf numFmtId="0" fontId="49" fillId="6" borderId="1" xfId="0" applyFont="1" applyFill="1" applyBorder="1" applyAlignment="1">
      <alignment horizontal="right" vertical="center" wrapText="1"/>
    </xf>
    <xf numFmtId="165" fontId="49" fillId="6" borderId="1" xfId="1" quotePrefix="1" applyNumberFormat="1" applyFont="1" applyFill="1" applyBorder="1" applyAlignment="1">
      <alignment horizontal="right" vertical="center" wrapText="1"/>
    </xf>
    <xf numFmtId="3" fontId="3" fillId="0" borderId="1" xfId="0" applyNumberFormat="1" applyFont="1" applyFill="1" applyBorder="1" applyAlignment="1">
      <alignment vertical="center" wrapText="1"/>
    </xf>
    <xf numFmtId="3" fontId="49" fillId="2" borderId="2" xfId="0" applyNumberFormat="1" applyFont="1" applyFill="1" applyBorder="1" applyAlignment="1">
      <alignment horizontal="right" vertical="center" wrapText="1"/>
    </xf>
    <xf numFmtId="0" fontId="52" fillId="2" borderId="1" xfId="0" applyFont="1" applyFill="1" applyBorder="1" applyAlignment="1">
      <alignment vertical="center" wrapText="1"/>
    </xf>
    <xf numFmtId="0" fontId="52" fillId="2" borderId="1" xfId="0" applyFont="1" applyFill="1" applyBorder="1" applyAlignment="1">
      <alignment horizontal="center" vertical="center"/>
    </xf>
    <xf numFmtId="0" fontId="75" fillId="8" borderId="1" xfId="0" applyFont="1" applyFill="1" applyBorder="1" applyAlignment="1">
      <alignment vertical="center" wrapText="1"/>
    </xf>
    <xf numFmtId="0" fontId="46" fillId="0" borderId="1" xfId="0" applyFont="1" applyBorder="1" applyAlignment="1">
      <alignment horizontal="left" vertical="center" wrapText="1"/>
    </xf>
    <xf numFmtId="0" fontId="0" fillId="0" borderId="1" xfId="0" applyFont="1" applyFill="1" applyBorder="1" applyAlignment="1">
      <alignment vertical="center" wrapText="1"/>
    </xf>
    <xf numFmtId="165" fontId="3" fillId="0" borderId="3" xfId="1" quotePrefix="1" applyNumberFormat="1" applyFont="1" applyFill="1" applyBorder="1" applyAlignment="1">
      <alignment vertical="center" wrapText="1"/>
    </xf>
    <xf numFmtId="165" fontId="3" fillId="0" borderId="1" xfId="0" applyNumberFormat="1" applyFont="1" applyFill="1" applyBorder="1" applyAlignment="1">
      <alignment vertical="center" wrapText="1"/>
    </xf>
    <xf numFmtId="0" fontId="120" fillId="0" borderId="1" xfId="0" applyFont="1" applyFill="1" applyBorder="1" applyAlignment="1">
      <alignment vertical="center" wrapText="1"/>
    </xf>
    <xf numFmtId="0" fontId="6" fillId="0" borderId="1" xfId="0" applyFont="1" applyFill="1" applyBorder="1" applyAlignment="1">
      <alignment vertical="center" wrapText="1"/>
    </xf>
    <xf numFmtId="0" fontId="4" fillId="0" borderId="1" xfId="0" applyFont="1" applyFill="1" applyBorder="1" applyAlignment="1">
      <alignment vertical="center" wrapText="1"/>
    </xf>
    <xf numFmtId="3" fontId="4" fillId="0" borderId="1" xfId="0" applyNumberFormat="1" applyFont="1" applyFill="1" applyBorder="1" applyAlignment="1">
      <alignment vertical="center" wrapText="1"/>
    </xf>
    <xf numFmtId="0" fontId="3" fillId="0" borderId="1" xfId="0" applyFont="1" applyFill="1" applyBorder="1" applyAlignment="1">
      <alignment vertical="center" wrapText="1"/>
    </xf>
    <xf numFmtId="172" fontId="4" fillId="0" borderId="1" xfId="0" applyNumberFormat="1" applyFont="1" applyFill="1" applyBorder="1" applyAlignment="1">
      <alignment vertical="center" wrapText="1"/>
    </xf>
    <xf numFmtId="172" fontId="3" fillId="0" borderId="1" xfId="0" applyNumberFormat="1" applyFont="1" applyFill="1" applyBorder="1" applyAlignment="1">
      <alignment vertical="center" wrapText="1"/>
    </xf>
    <xf numFmtId="0" fontId="118" fillId="0" borderId="5" xfId="0" applyFont="1" applyFill="1" applyBorder="1" applyAlignment="1">
      <alignment vertical="center" wrapText="1"/>
    </xf>
    <xf numFmtId="165" fontId="123" fillId="0" borderId="9" xfId="1" applyNumberFormat="1" applyFont="1" applyFill="1" applyBorder="1" applyAlignment="1">
      <alignment vertical="center" wrapText="1"/>
    </xf>
    <xf numFmtId="0" fontId="0" fillId="0" borderId="0" xfId="0" applyAlignment="1">
      <alignment wrapText="1"/>
    </xf>
    <xf numFmtId="0" fontId="3" fillId="0" borderId="0" xfId="0" applyFont="1" applyAlignment="1">
      <alignment wrapText="1"/>
    </xf>
    <xf numFmtId="3" fontId="6" fillId="0" borderId="1" xfId="0" applyNumberFormat="1" applyFont="1" applyFill="1" applyBorder="1" applyAlignment="1">
      <alignment vertical="center" wrapText="1"/>
    </xf>
    <xf numFmtId="0" fontId="0" fillId="0" borderId="0" xfId="0" applyFont="1" applyFill="1" applyAlignment="1">
      <alignment wrapText="1"/>
    </xf>
    <xf numFmtId="3" fontId="0" fillId="0" borderId="0" xfId="0" applyNumberFormat="1" applyAlignment="1">
      <alignment wrapText="1"/>
    </xf>
    <xf numFmtId="0" fontId="0" fillId="0" borderId="0" xfId="0" applyBorder="1" applyAlignment="1">
      <alignment wrapText="1"/>
    </xf>
    <xf numFmtId="0" fontId="118" fillId="0" borderId="1" xfId="0" applyFont="1" applyFill="1" applyBorder="1" applyAlignment="1">
      <alignment vertical="center" wrapText="1"/>
    </xf>
    <xf numFmtId="165" fontId="3" fillId="0" borderId="1" xfId="1" applyNumberFormat="1" applyFont="1" applyFill="1" applyBorder="1" applyAlignment="1">
      <alignment vertical="center" wrapText="1"/>
    </xf>
    <xf numFmtId="0" fontId="6" fillId="0" borderId="5" xfId="0" applyFont="1" applyFill="1" applyBorder="1" applyAlignment="1">
      <alignment vertical="center" wrapText="1"/>
    </xf>
    <xf numFmtId="0" fontId="3" fillId="0" borderId="5" xfId="0" applyFont="1" applyFill="1" applyBorder="1" applyAlignment="1">
      <alignment vertical="center" wrapText="1"/>
    </xf>
    <xf numFmtId="3" fontId="3" fillId="0" borderId="5" xfId="0" applyNumberFormat="1" applyFont="1" applyFill="1" applyBorder="1" applyAlignment="1">
      <alignment vertical="center" wrapText="1"/>
    </xf>
    <xf numFmtId="165" fontId="4" fillId="0" borderId="1" xfId="1" applyNumberFormat="1" applyFont="1" applyFill="1" applyBorder="1" applyAlignment="1">
      <alignment vertical="center" wrapText="1"/>
    </xf>
    <xf numFmtId="165" fontId="4" fillId="0" borderId="1" xfId="0" applyNumberFormat="1" applyFont="1" applyFill="1" applyBorder="1" applyAlignment="1">
      <alignment vertical="center" wrapText="1"/>
    </xf>
    <xf numFmtId="165" fontId="3" fillId="0" borderId="3" xfId="1" applyNumberFormat="1" applyFont="1" applyFill="1" applyBorder="1" applyAlignment="1">
      <alignment vertical="center" wrapText="1"/>
    </xf>
    <xf numFmtId="0" fontId="84" fillId="0" borderId="1" xfId="0" applyFont="1" applyFill="1" applyBorder="1" applyAlignment="1">
      <alignment vertical="center" wrapText="1"/>
    </xf>
    <xf numFmtId="0" fontId="3" fillId="0" borderId="1" xfId="0" applyFont="1" applyFill="1" applyBorder="1" applyAlignment="1">
      <alignment wrapText="1"/>
    </xf>
    <xf numFmtId="165" fontId="3" fillId="0" borderId="1" xfId="1" applyNumberFormat="1" applyFont="1" applyFill="1" applyBorder="1" applyAlignment="1">
      <alignment wrapText="1"/>
    </xf>
    <xf numFmtId="0" fontId="121" fillId="0" borderId="1" xfId="0" applyFont="1" applyFill="1" applyBorder="1" applyAlignment="1">
      <alignment vertical="center" wrapText="1"/>
    </xf>
    <xf numFmtId="0" fontId="3" fillId="0" borderId="3" xfId="0" applyFont="1" applyFill="1" applyBorder="1" applyAlignment="1">
      <alignment wrapText="1"/>
    </xf>
    <xf numFmtId="172" fontId="4" fillId="0" borderId="1" xfId="1" applyNumberFormat="1" applyFont="1" applyFill="1" applyBorder="1" applyAlignment="1">
      <alignment vertical="center" wrapText="1"/>
    </xf>
    <xf numFmtId="172" fontId="3" fillId="0" borderId="3" xfId="1" applyNumberFormat="1" applyFont="1" applyFill="1" applyBorder="1" applyAlignment="1">
      <alignment vertical="center" wrapText="1"/>
    </xf>
    <xf numFmtId="172" fontId="3" fillId="0" borderId="1" xfId="1" applyNumberFormat="1" applyFont="1" applyFill="1" applyBorder="1" applyAlignment="1">
      <alignment vertical="center" wrapText="1"/>
    </xf>
    <xf numFmtId="172" fontId="3" fillId="0" borderId="3" xfId="1" quotePrefix="1" applyNumberFormat="1" applyFont="1" applyFill="1" applyBorder="1" applyAlignment="1">
      <alignment vertical="center" wrapText="1"/>
    </xf>
    <xf numFmtId="3" fontId="3" fillId="0" borderId="1" xfId="0" applyNumberFormat="1" applyFont="1" applyFill="1" applyBorder="1" applyAlignment="1">
      <alignment wrapText="1"/>
    </xf>
    <xf numFmtId="172" fontId="118" fillId="0" borderId="1" xfId="1" applyNumberFormat="1" applyFont="1" applyFill="1" applyBorder="1" applyAlignment="1">
      <alignment vertical="center" wrapText="1"/>
    </xf>
    <xf numFmtId="172" fontId="6" fillId="0" borderId="3" xfId="1" applyNumberFormat="1" applyFont="1" applyFill="1" applyBorder="1" applyAlignment="1">
      <alignment vertical="center" wrapText="1"/>
    </xf>
    <xf numFmtId="0" fontId="116" fillId="0" borderId="1" xfId="0" applyFont="1" applyFill="1" applyBorder="1" applyAlignment="1">
      <alignment vertical="center" wrapText="1"/>
    </xf>
    <xf numFmtId="172" fontId="4" fillId="0" borderId="3" xfId="1" applyNumberFormat="1" applyFont="1" applyFill="1" applyBorder="1" applyAlignment="1">
      <alignment vertical="center" wrapText="1"/>
    </xf>
    <xf numFmtId="0" fontId="0" fillId="0" borderId="1" xfId="0" applyFont="1" applyFill="1" applyBorder="1" applyAlignment="1">
      <alignment wrapText="1"/>
    </xf>
    <xf numFmtId="0" fontId="3" fillId="0" borderId="23" xfId="0" applyFont="1" applyFill="1" applyBorder="1" applyAlignment="1">
      <alignment vertical="center" wrapText="1"/>
    </xf>
    <xf numFmtId="0" fontId="116" fillId="0" borderId="5" xfId="0" applyFont="1" applyFill="1" applyBorder="1" applyAlignment="1">
      <alignment vertical="center" wrapText="1"/>
    </xf>
    <xf numFmtId="174" fontId="19" fillId="0" borderId="1" xfId="0" applyNumberFormat="1" applyFont="1" applyFill="1" applyBorder="1" applyAlignment="1">
      <alignment vertical="center" wrapText="1"/>
    </xf>
    <xf numFmtId="0" fontId="114" fillId="0" borderId="1" xfId="0" applyFont="1" applyFill="1" applyBorder="1" applyAlignment="1">
      <alignment vertical="center" wrapText="1"/>
    </xf>
    <xf numFmtId="174" fontId="12" fillId="0" borderId="1" xfId="0" applyNumberFormat="1" applyFont="1" applyFill="1" applyBorder="1" applyAlignment="1">
      <alignment vertical="center" wrapText="1"/>
    </xf>
    <xf numFmtId="172" fontId="22" fillId="0" borderId="3" xfId="1" applyNumberFormat="1" applyFont="1" applyFill="1" applyBorder="1" applyAlignment="1">
      <alignment vertical="center" wrapText="1"/>
    </xf>
    <xf numFmtId="3" fontId="22" fillId="0" borderId="1" xfId="0" applyNumberFormat="1" applyFont="1" applyFill="1" applyBorder="1" applyAlignment="1">
      <alignment vertical="center"/>
    </xf>
    <xf numFmtId="172" fontId="22" fillId="0" borderId="1" xfId="1" applyNumberFormat="1" applyFont="1" applyFill="1" applyBorder="1" applyAlignment="1">
      <alignment vertical="center" wrapText="1"/>
    </xf>
    <xf numFmtId="172" fontId="46" fillId="0" borderId="3" xfId="1" applyNumberFormat="1" applyFont="1" applyFill="1" applyBorder="1" applyAlignment="1">
      <alignment vertical="center" wrapText="1"/>
    </xf>
    <xf numFmtId="3" fontId="46" fillId="0" borderId="1" xfId="0" applyNumberFormat="1" applyFont="1" applyFill="1" applyBorder="1" applyAlignment="1">
      <alignment vertical="center"/>
    </xf>
    <xf numFmtId="172" fontId="46" fillId="0" borderId="1" xfId="1" applyNumberFormat="1" applyFont="1" applyFill="1" applyBorder="1" applyAlignment="1">
      <alignment vertical="center" wrapText="1"/>
    </xf>
    <xf numFmtId="172" fontId="46" fillId="0" borderId="1" xfId="0" applyNumberFormat="1" applyFont="1" applyFill="1" applyBorder="1" applyAlignment="1">
      <alignment vertical="center"/>
    </xf>
    <xf numFmtId="172" fontId="46" fillId="0" borderId="3" xfId="1" quotePrefix="1" applyNumberFormat="1" applyFont="1" applyFill="1" applyBorder="1" applyAlignment="1">
      <alignment vertical="center" wrapText="1"/>
    </xf>
    <xf numFmtId="0" fontId="46" fillId="0" borderId="16" xfId="0" applyFont="1" applyFill="1" applyBorder="1" applyAlignment="1">
      <alignment vertical="center" wrapText="1"/>
    </xf>
    <xf numFmtId="0" fontId="46" fillId="0" borderId="16" xfId="0" applyFont="1" applyFill="1" applyBorder="1" applyAlignment="1">
      <alignment horizontal="center" vertical="center" wrapText="1"/>
    </xf>
    <xf numFmtId="0" fontId="98" fillId="0" borderId="1" xfId="0" applyFont="1" applyFill="1" applyBorder="1" applyAlignment="1">
      <alignment horizontal="left" vertical="center" wrapText="1"/>
    </xf>
    <xf numFmtId="172" fontId="10" fillId="0" borderId="1" xfId="1" applyNumberFormat="1" applyFont="1" applyFill="1" applyBorder="1" applyAlignment="1">
      <alignment vertical="center" wrapText="1"/>
    </xf>
    <xf numFmtId="0" fontId="111" fillId="0" borderId="1" xfId="0" applyFont="1" applyFill="1" applyBorder="1" applyAlignment="1">
      <alignment horizontal="center" vertical="center"/>
    </xf>
    <xf numFmtId="0" fontId="111" fillId="0" borderId="1" xfId="0" applyFont="1" applyFill="1" applyBorder="1" applyAlignment="1">
      <alignment horizontal="center" vertical="center" wrapText="1"/>
    </xf>
    <xf numFmtId="0" fontId="97" fillId="0" borderId="1" xfId="0" applyFont="1" applyFill="1" applyBorder="1" applyAlignment="1">
      <alignment horizontal="left" vertical="center" wrapText="1"/>
    </xf>
    <xf numFmtId="165" fontId="98" fillId="0" borderId="9" xfId="1" applyNumberFormat="1" applyFont="1" applyFill="1" applyBorder="1" applyAlignment="1">
      <alignment horizontal="left" vertical="center" wrapText="1"/>
    </xf>
    <xf numFmtId="0" fontId="46" fillId="0" borderId="3" xfId="0" applyFont="1" applyFill="1" applyBorder="1" applyAlignment="1">
      <alignment horizontal="center" vertical="center" wrapText="1"/>
    </xf>
    <xf numFmtId="0" fontId="22" fillId="0" borderId="3" xfId="0" applyFont="1" applyFill="1" applyBorder="1" applyAlignment="1">
      <alignment horizontal="center" vertical="center" wrapText="1"/>
    </xf>
    <xf numFmtId="172" fontId="46" fillId="0" borderId="4" xfId="1" applyNumberFormat="1" applyFont="1" applyFill="1" applyBorder="1" applyAlignment="1">
      <alignment vertical="center" wrapText="1"/>
    </xf>
    <xf numFmtId="172" fontId="10" fillId="0" borderId="4" xfId="1" applyNumberFormat="1" applyFont="1" applyFill="1" applyBorder="1" applyAlignment="1">
      <alignment vertical="center" wrapText="1"/>
    </xf>
    <xf numFmtId="165" fontId="98" fillId="0" borderId="1" xfId="1" applyNumberFormat="1" applyFont="1" applyFill="1" applyBorder="1" applyAlignment="1">
      <alignment horizontal="left" vertical="center" wrapText="1"/>
    </xf>
    <xf numFmtId="172" fontId="46" fillId="0" borderId="1" xfId="1" quotePrefix="1" applyNumberFormat="1" applyFont="1" applyFill="1" applyBorder="1" applyAlignment="1">
      <alignment vertical="center" wrapText="1"/>
    </xf>
    <xf numFmtId="0" fontId="0" fillId="0" borderId="0" xfId="0" applyFont="1" applyFill="1" applyBorder="1"/>
    <xf numFmtId="3" fontId="3" fillId="0" borderId="2" xfId="0" applyNumberFormat="1" applyFont="1" applyFill="1" applyBorder="1" applyAlignment="1">
      <alignment vertical="center" wrapText="1"/>
    </xf>
    <xf numFmtId="0" fontId="46" fillId="0" borderId="1" xfId="0" applyFont="1" applyBorder="1" applyAlignment="1">
      <alignment horizontal="left" vertical="center" wrapText="1"/>
    </xf>
    <xf numFmtId="0" fontId="63" fillId="0" borderId="0" xfId="0" applyFont="1" applyFill="1" applyAlignment="1">
      <alignment horizontal="left" wrapText="1"/>
    </xf>
    <xf numFmtId="0" fontId="21" fillId="0" borderId="0" xfId="0" applyFont="1" applyFill="1" applyBorder="1" applyAlignment="1">
      <alignment horizontal="center" vertical="center"/>
    </xf>
    <xf numFmtId="0" fontId="21" fillId="0" borderId="0" xfId="0" applyFont="1" applyFill="1" applyBorder="1" applyAlignment="1">
      <alignment horizontal="center" vertical="center" wrapText="1"/>
    </xf>
    <xf numFmtId="0" fontId="24" fillId="0" borderId="0" xfId="0" applyFont="1" applyFill="1" applyBorder="1" applyAlignment="1">
      <alignment horizontal="center" vertical="top" wrapText="1"/>
    </xf>
    <xf numFmtId="0" fontId="24" fillId="0" borderId="6" xfId="0" applyFont="1" applyFill="1" applyBorder="1" applyAlignment="1">
      <alignment horizontal="right" vertical="center" wrapText="1"/>
    </xf>
    <xf numFmtId="0" fontId="32" fillId="0" borderId="6"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44" fillId="0" borderId="2" xfId="0" quotePrefix="1" applyFont="1" applyFill="1" applyBorder="1" applyAlignment="1">
      <alignment horizontal="center" vertical="center" wrapText="1"/>
    </xf>
    <xf numFmtId="0" fontId="44" fillId="0" borderId="7" xfId="0" quotePrefix="1" applyFont="1" applyFill="1" applyBorder="1" applyAlignment="1">
      <alignment horizontal="center" vertical="center" wrapText="1"/>
    </xf>
    <xf numFmtId="0" fontId="44" fillId="0" borderId="2" xfId="0" applyFont="1" applyFill="1" applyBorder="1" applyAlignment="1">
      <alignment horizontal="left" vertical="center" wrapText="1"/>
    </xf>
    <xf numFmtId="0" fontId="44" fillId="0" borderId="7" xfId="0" applyFont="1" applyFill="1" applyBorder="1" applyAlignment="1">
      <alignment horizontal="left" vertical="center" wrapText="1"/>
    </xf>
    <xf numFmtId="0" fontId="44" fillId="0" borderId="2" xfId="0" quotePrefix="1" applyFont="1" applyFill="1" applyBorder="1" applyAlignment="1">
      <alignment horizontal="left" vertical="center" wrapText="1"/>
    </xf>
    <xf numFmtId="0" fontId="44" fillId="0" borderId="7" xfId="0" quotePrefix="1" applyFont="1" applyFill="1" applyBorder="1" applyAlignment="1">
      <alignment horizontal="left" vertical="center" wrapText="1"/>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7" xfId="0" applyFont="1" applyFill="1" applyBorder="1" applyAlignment="1">
      <alignment horizontal="center" vertical="center"/>
    </xf>
    <xf numFmtId="0" fontId="44" fillId="0" borderId="1" xfId="0" quotePrefix="1" applyFont="1" applyFill="1" applyBorder="1" applyAlignment="1">
      <alignment horizontal="left" vertical="center" wrapText="1"/>
    </xf>
    <xf numFmtId="0" fontId="44" fillId="0" borderId="5" xfId="0" quotePrefix="1" applyFont="1" applyFill="1" applyBorder="1" applyAlignment="1">
      <alignment horizontal="left" vertical="center" wrapText="1"/>
    </xf>
    <xf numFmtId="0" fontId="44" fillId="0" borderId="5" xfId="0" applyFont="1" applyFill="1" applyBorder="1" applyAlignment="1">
      <alignment horizontal="center" vertical="center"/>
    </xf>
    <xf numFmtId="0" fontId="17" fillId="0" borderId="2" xfId="0" quotePrefix="1" applyFont="1" applyFill="1" applyBorder="1" applyAlignment="1">
      <alignment horizontal="left" vertical="center" wrapText="1"/>
    </xf>
    <xf numFmtId="0" fontId="17" fillId="0" borderId="7" xfId="0" quotePrefix="1" applyFont="1" applyFill="1" applyBorder="1" applyAlignment="1">
      <alignment horizontal="left" vertical="center" wrapText="1"/>
    </xf>
    <xf numFmtId="0" fontId="17" fillId="0" borderId="5" xfId="0" quotePrefix="1" applyFont="1" applyFill="1" applyBorder="1" applyAlignment="1">
      <alignment horizontal="left" vertical="center" wrapText="1"/>
    </xf>
    <xf numFmtId="0" fontId="17" fillId="0" borderId="2"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5" xfId="0" applyFont="1" applyFill="1" applyBorder="1" applyAlignment="1">
      <alignment horizontal="center" vertical="center"/>
    </xf>
    <xf numFmtId="0" fontId="50" fillId="0" borderId="0" xfId="0" applyFont="1" applyFill="1" applyAlignment="1">
      <alignment horizontal="center"/>
    </xf>
    <xf numFmtId="0" fontId="13" fillId="0" borderId="2" xfId="0" applyFont="1" applyBorder="1" applyAlignment="1">
      <alignment horizontal="left" vertical="center" wrapText="1"/>
    </xf>
    <xf numFmtId="0" fontId="13" fillId="0" borderId="7" xfId="0" applyFont="1" applyBorder="1" applyAlignment="1">
      <alignment horizontal="left" vertical="center"/>
    </xf>
    <xf numFmtId="0" fontId="64" fillId="0" borderId="2" xfId="0" applyFont="1" applyFill="1" applyBorder="1" applyAlignment="1">
      <alignment horizontal="center" vertical="center" wrapText="1"/>
    </xf>
    <xf numFmtId="0" fontId="64" fillId="0" borderId="7" xfId="0" applyFont="1" applyFill="1" applyBorder="1" applyAlignment="1">
      <alignment horizontal="center" vertical="center" wrapText="1"/>
    </xf>
    <xf numFmtId="0" fontId="64" fillId="0" borderId="5" xfId="0" applyFont="1" applyFill="1" applyBorder="1" applyAlignment="1">
      <alignment horizontal="center" vertical="center" wrapText="1"/>
    </xf>
    <xf numFmtId="0" fontId="44" fillId="0" borderId="5" xfId="0" applyFont="1" applyFill="1" applyBorder="1" applyAlignment="1">
      <alignment horizontal="left" vertical="center" wrapText="1"/>
    </xf>
    <xf numFmtId="0" fontId="13" fillId="2" borderId="0" xfId="12" applyFont="1" applyFill="1" applyAlignment="1">
      <alignment horizontal="center" vertical="center" wrapText="1"/>
    </xf>
    <xf numFmtId="0" fontId="22" fillId="2" borderId="0" xfId="12" applyFont="1" applyFill="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07" fillId="0" borderId="0" xfId="0" applyFont="1" applyAlignment="1">
      <alignment horizontal="center" vertical="center"/>
    </xf>
    <xf numFmtId="0" fontId="106" fillId="0" borderId="0" xfId="0" applyFont="1" applyAlignment="1">
      <alignment horizontal="center" vertical="center" wrapText="1"/>
    </xf>
    <xf numFmtId="0" fontId="106" fillId="0" borderId="0" xfId="0" applyFont="1" applyBorder="1" applyAlignment="1">
      <alignment horizontal="left" vertical="center"/>
    </xf>
    <xf numFmtId="0" fontId="106" fillId="0" borderId="1" xfId="0" applyFont="1" applyBorder="1" applyAlignment="1">
      <alignment horizontal="center" vertical="center" wrapText="1"/>
    </xf>
    <xf numFmtId="165" fontId="107" fillId="0" borderId="0" xfId="1" applyNumberFormat="1" applyFont="1" applyAlignment="1">
      <alignment horizontal="center" vertical="center"/>
    </xf>
    <xf numFmtId="0" fontId="97" fillId="0" borderId="1" xfId="0" applyFont="1" applyBorder="1" applyAlignment="1">
      <alignment horizontal="center" vertical="center" wrapText="1"/>
    </xf>
    <xf numFmtId="165" fontId="97" fillId="0" borderId="1" xfId="1" applyNumberFormat="1" applyFont="1" applyBorder="1" applyAlignment="1">
      <alignment horizontal="center" vertical="center" wrapText="1"/>
    </xf>
    <xf numFmtId="165" fontId="106" fillId="0" borderId="0" xfId="1" applyNumberFormat="1" applyFont="1" applyAlignment="1">
      <alignment horizontal="center" vertical="center" wrapText="1"/>
    </xf>
    <xf numFmtId="0" fontId="112" fillId="0" borderId="1" xfId="0" applyFont="1" applyBorder="1" applyAlignment="1">
      <alignment horizontal="center" vertical="center" wrapText="1"/>
    </xf>
    <xf numFmtId="0" fontId="113" fillId="0" borderId="10" xfId="0" applyFont="1" applyBorder="1" applyAlignment="1">
      <alignment horizontal="center"/>
    </xf>
    <xf numFmtId="0" fontId="49" fillId="0" borderId="0" xfId="0" applyFont="1" applyAlignment="1">
      <alignment horizontal="center" vertical="center"/>
    </xf>
    <xf numFmtId="0" fontId="49" fillId="0" borderId="0" xfId="0" applyFont="1" applyAlignment="1">
      <alignment horizontal="center" vertical="center" wrapText="1"/>
    </xf>
    <xf numFmtId="0" fontId="49" fillId="0" borderId="6" xfId="0" applyFont="1" applyBorder="1" applyAlignment="1">
      <alignment horizontal="center" vertical="center" wrapText="1"/>
    </xf>
    <xf numFmtId="0" fontId="102" fillId="0" borderId="2" xfId="0" applyFont="1" applyBorder="1" applyAlignment="1">
      <alignment horizontal="center" vertical="center" wrapText="1"/>
    </xf>
    <xf numFmtId="0" fontId="102" fillId="0" borderId="7" xfId="0" applyFont="1" applyBorder="1" applyAlignment="1">
      <alignment horizontal="center" vertical="center" wrapText="1"/>
    </xf>
    <xf numFmtId="0" fontId="102" fillId="0" borderId="5" xfId="0" applyFont="1" applyBorder="1" applyAlignment="1">
      <alignment horizontal="center" vertical="center" wrapText="1"/>
    </xf>
    <xf numFmtId="0" fontId="102" fillId="0" borderId="1" xfId="0" applyFont="1" applyBorder="1" applyAlignment="1">
      <alignment horizontal="center" vertical="center" wrapText="1"/>
    </xf>
    <xf numFmtId="0" fontId="22" fillId="0" borderId="0" xfId="0" applyFont="1" applyAlignment="1">
      <alignment horizontal="center" wrapText="1"/>
    </xf>
    <xf numFmtId="0" fontId="4" fillId="0" borderId="1" xfId="0" applyFont="1" applyFill="1" applyBorder="1" applyAlignment="1">
      <alignment vertical="center" wrapText="1"/>
    </xf>
    <xf numFmtId="0" fontId="4" fillId="0" borderId="1" xfId="0" applyFont="1" applyFill="1" applyBorder="1" applyAlignment="1">
      <alignment horizontal="center" wrapText="1"/>
    </xf>
    <xf numFmtId="0" fontId="4" fillId="0" borderId="3"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0" fontId="52" fillId="2" borderId="2" xfId="0" applyFont="1" applyFill="1" applyBorder="1" applyAlignment="1">
      <alignment horizontal="left" vertical="center" wrapText="1"/>
    </xf>
    <xf numFmtId="0" fontId="52" fillId="2" borderId="7" xfId="0" applyFont="1" applyFill="1" applyBorder="1" applyAlignment="1">
      <alignment horizontal="left" vertical="center" wrapText="1"/>
    </xf>
    <xf numFmtId="0" fontId="52" fillId="2" borderId="5" xfId="0" applyFont="1" applyFill="1" applyBorder="1" applyAlignment="1">
      <alignment horizontal="left" vertical="center" wrapText="1"/>
    </xf>
    <xf numFmtId="0" fontId="52" fillId="0" borderId="1" xfId="0" applyFont="1" applyFill="1" applyBorder="1" applyAlignment="1">
      <alignment horizontal="center" vertical="center"/>
    </xf>
    <xf numFmtId="0" fontId="52" fillId="0" borderId="2" xfId="0" applyFont="1" applyFill="1" applyBorder="1" applyAlignment="1">
      <alignment horizontal="center" vertical="center"/>
    </xf>
    <xf numFmtId="0" fontId="52" fillId="0" borderId="7" xfId="0" applyFont="1" applyFill="1" applyBorder="1" applyAlignment="1">
      <alignment horizontal="center" vertical="center"/>
    </xf>
    <xf numFmtId="0" fontId="52" fillId="0" borderId="5" xfId="0" applyFont="1" applyFill="1" applyBorder="1" applyAlignment="1">
      <alignment horizontal="center" vertical="center"/>
    </xf>
    <xf numFmtId="165" fontId="49" fillId="0" borderId="1" xfId="1" applyNumberFormat="1" applyFont="1" applyFill="1" applyBorder="1" applyAlignment="1">
      <alignment horizontal="center" vertical="center" wrapText="1"/>
    </xf>
    <xf numFmtId="165" fontId="49" fillId="2" borderId="1" xfId="1" applyNumberFormat="1" applyFont="1" applyFill="1" applyBorder="1" applyAlignment="1">
      <alignment horizontal="center" vertical="center" wrapText="1"/>
    </xf>
    <xf numFmtId="0" fontId="52" fillId="8" borderId="2" xfId="0" applyFont="1" applyFill="1" applyBorder="1" applyAlignment="1">
      <alignment horizontal="center" vertical="center"/>
    </xf>
    <xf numFmtId="0" fontId="52" fillId="8" borderId="7" xfId="0" applyFont="1" applyFill="1" applyBorder="1" applyAlignment="1">
      <alignment horizontal="center" vertical="center"/>
    </xf>
    <xf numFmtId="0" fontId="52" fillId="8" borderId="5" xfId="0" applyFont="1" applyFill="1" applyBorder="1" applyAlignment="1">
      <alignment horizontal="center" vertical="center"/>
    </xf>
    <xf numFmtId="3" fontId="75" fillId="8" borderId="2" xfId="0" applyNumberFormat="1" applyFont="1" applyFill="1" applyBorder="1" applyAlignment="1">
      <alignment horizontal="center" vertical="center"/>
    </xf>
    <xf numFmtId="3" fontId="75" fillId="8" borderId="7" xfId="0" applyNumberFormat="1" applyFont="1" applyFill="1" applyBorder="1" applyAlignment="1">
      <alignment horizontal="center" vertical="center"/>
    </xf>
    <xf numFmtId="3" fontId="75" fillId="8" borderId="5" xfId="0" applyNumberFormat="1" applyFont="1" applyFill="1" applyBorder="1" applyAlignment="1">
      <alignment horizontal="center" vertical="center"/>
    </xf>
    <xf numFmtId="0" fontId="49" fillId="2"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52" fillId="6" borderId="1" xfId="0" applyFont="1" applyFill="1" applyBorder="1" applyAlignment="1">
      <alignment horizontal="left" vertical="center" wrapText="1" shrinkToFit="1"/>
    </xf>
    <xf numFmtId="0" fontId="52" fillId="6" borderId="1" xfId="0" applyFont="1" applyFill="1" applyBorder="1" applyAlignment="1">
      <alignment horizontal="center" vertical="center"/>
    </xf>
    <xf numFmtId="0" fontId="52" fillId="8" borderId="2" xfId="0" applyFont="1" applyFill="1" applyBorder="1" applyAlignment="1">
      <alignment horizontal="center" vertical="center" wrapText="1"/>
    </xf>
    <xf numFmtId="0" fontId="52" fillId="8" borderId="7" xfId="0" applyFont="1" applyFill="1" applyBorder="1" applyAlignment="1">
      <alignment horizontal="center" vertical="center" wrapText="1"/>
    </xf>
    <xf numFmtId="0" fontId="52" fillId="8" borderId="5" xfId="0" applyFont="1" applyFill="1" applyBorder="1" applyAlignment="1">
      <alignment horizontal="center" vertical="center" wrapText="1"/>
    </xf>
    <xf numFmtId="0" fontId="46" fillId="0" borderId="1" xfId="0" applyFont="1" applyBorder="1" applyAlignment="1">
      <alignment horizontal="left" vertical="center" wrapText="1"/>
    </xf>
    <xf numFmtId="165" fontId="52" fillId="8" borderId="2" xfId="1" applyNumberFormat="1" applyFont="1" applyFill="1" applyBorder="1" applyAlignment="1">
      <alignment horizontal="center" vertical="center" wrapText="1"/>
    </xf>
    <xf numFmtId="165" fontId="52" fillId="8" borderId="7" xfId="1" applyNumberFormat="1" applyFont="1" applyFill="1" applyBorder="1" applyAlignment="1">
      <alignment horizontal="center" vertical="center" wrapText="1"/>
    </xf>
    <xf numFmtId="165" fontId="52" fillId="8" borderId="5" xfId="1" applyNumberFormat="1" applyFont="1" applyFill="1" applyBorder="1" applyAlignment="1">
      <alignment horizontal="center" vertical="center" wrapText="1"/>
    </xf>
    <xf numFmtId="165" fontId="75" fillId="8" borderId="2" xfId="1" applyNumberFormat="1" applyFont="1" applyFill="1" applyBorder="1" applyAlignment="1">
      <alignment horizontal="center" vertical="center"/>
    </xf>
    <xf numFmtId="165" fontId="75" fillId="8" borderId="7" xfId="1" applyNumberFormat="1" applyFont="1" applyFill="1" applyBorder="1" applyAlignment="1">
      <alignment horizontal="center" vertical="center"/>
    </xf>
    <xf numFmtId="165" fontId="75" fillId="8" borderId="5" xfId="1" applyNumberFormat="1" applyFont="1" applyFill="1" applyBorder="1" applyAlignment="1">
      <alignment horizontal="center" vertical="center"/>
    </xf>
    <xf numFmtId="0" fontId="49" fillId="0" borderId="0" xfId="0" applyFont="1" applyFill="1" applyAlignment="1">
      <alignment horizontal="center" vertical="center"/>
    </xf>
    <xf numFmtId="0" fontId="52" fillId="0" borderId="0" xfId="0" applyFont="1" applyFill="1" applyAlignment="1">
      <alignment horizontal="center" vertical="center"/>
    </xf>
    <xf numFmtId="0" fontId="49" fillId="0" borderId="0" xfId="0" applyFont="1" applyFill="1" applyBorder="1" applyAlignment="1">
      <alignment horizontal="center" vertical="center" wrapText="1"/>
    </xf>
    <xf numFmtId="0" fontId="75" fillId="8" borderId="1" xfId="0" applyFont="1" applyFill="1" applyBorder="1" applyAlignment="1">
      <alignment horizontal="center" vertical="center"/>
    </xf>
    <xf numFmtId="0" fontId="75" fillId="8" borderId="1" xfId="0" applyFont="1" applyFill="1" applyBorder="1" applyAlignment="1">
      <alignment vertical="center" wrapText="1"/>
    </xf>
    <xf numFmtId="0" fontId="49" fillId="0" borderId="1" xfId="0" applyFont="1" applyFill="1" applyBorder="1" applyAlignment="1">
      <alignment horizontal="center" vertical="center"/>
    </xf>
    <xf numFmtId="0" fontId="49" fillId="2" borderId="1" xfId="0" applyFont="1" applyFill="1" applyBorder="1" applyAlignment="1">
      <alignment horizontal="center" vertical="center"/>
    </xf>
    <xf numFmtId="0" fontId="75" fillId="8" borderId="2" xfId="0" applyFont="1" applyFill="1" applyBorder="1" applyAlignment="1">
      <alignment horizontal="center" vertical="center"/>
    </xf>
    <xf numFmtId="0" fontId="75" fillId="8" borderId="7" xfId="0" applyFont="1" applyFill="1" applyBorder="1" applyAlignment="1">
      <alignment horizontal="center" vertical="center"/>
    </xf>
    <xf numFmtId="0" fontId="75" fillId="8" borderId="2" xfId="0" applyFont="1" applyFill="1" applyBorder="1" applyAlignment="1">
      <alignment horizontal="left" vertical="center" wrapText="1"/>
    </xf>
    <xf numFmtId="0" fontId="75" fillId="8" borderId="7" xfId="0" applyFont="1" applyFill="1" applyBorder="1" applyAlignment="1">
      <alignment horizontal="left" vertical="center" wrapText="1"/>
    </xf>
    <xf numFmtId="165" fontId="52" fillId="8" borderId="2" xfId="1" applyNumberFormat="1" applyFont="1" applyFill="1" applyBorder="1" applyAlignment="1">
      <alignment horizontal="center" vertical="center"/>
    </xf>
    <xf numFmtId="165" fontId="52" fillId="8" borderId="7" xfId="1" applyNumberFormat="1" applyFont="1" applyFill="1" applyBorder="1" applyAlignment="1">
      <alignment horizontal="center" vertical="center"/>
    </xf>
    <xf numFmtId="0" fontId="52" fillId="8" borderId="2" xfId="0" applyFont="1" applyFill="1" applyBorder="1" applyAlignment="1">
      <alignment horizontal="center" vertical="top"/>
    </xf>
    <xf numFmtId="0" fontId="52" fillId="8" borderId="7" xfId="0" applyFont="1" applyFill="1" applyBorder="1" applyAlignment="1">
      <alignment horizontal="center" vertical="top"/>
    </xf>
    <xf numFmtId="0" fontId="52" fillId="2" borderId="1" xfId="0" applyFont="1" applyFill="1" applyBorder="1" applyAlignment="1">
      <alignment vertical="center" wrapText="1"/>
    </xf>
    <xf numFmtId="3" fontId="75" fillId="8" borderId="2" xfId="0" applyNumberFormat="1" applyFont="1" applyFill="1" applyBorder="1" applyAlignment="1">
      <alignment horizontal="right" vertical="center" wrapText="1"/>
    </xf>
    <xf numFmtId="3" fontId="75" fillId="8" borderId="7" xfId="0" applyNumberFormat="1" applyFont="1" applyFill="1" applyBorder="1" applyAlignment="1">
      <alignment horizontal="right" vertical="center" wrapText="1"/>
    </xf>
    <xf numFmtId="3" fontId="75" fillId="8" borderId="2" xfId="1" applyNumberFormat="1" applyFont="1" applyFill="1" applyBorder="1" applyAlignment="1">
      <alignment horizontal="center" vertical="center"/>
    </xf>
    <xf numFmtId="3" fontId="75" fillId="8" borderId="7" xfId="1" applyNumberFormat="1" applyFont="1" applyFill="1" applyBorder="1" applyAlignment="1">
      <alignment horizontal="center" vertical="center"/>
    </xf>
    <xf numFmtId="3" fontId="75" fillId="8" borderId="5" xfId="1" applyNumberFormat="1" applyFont="1" applyFill="1" applyBorder="1" applyAlignment="1">
      <alignment horizontal="center" vertical="center"/>
    </xf>
    <xf numFmtId="0" fontId="52" fillId="8" borderId="5" xfId="0" applyFont="1" applyFill="1" applyBorder="1" applyAlignment="1">
      <alignment horizontal="center" vertical="top"/>
    </xf>
    <xf numFmtId="0" fontId="52" fillId="2" borderId="2" xfId="0" applyFont="1" applyFill="1" applyBorder="1" applyAlignment="1">
      <alignment horizontal="center" vertical="center"/>
    </xf>
    <xf numFmtId="0" fontId="52" fillId="2" borderId="7" xfId="0" applyFont="1" applyFill="1" applyBorder="1" applyAlignment="1">
      <alignment horizontal="center" vertical="center"/>
    </xf>
    <xf numFmtId="0" fontId="52" fillId="2" borderId="5" xfId="0" applyFont="1" applyFill="1" applyBorder="1" applyAlignment="1">
      <alignment horizontal="center" vertical="center"/>
    </xf>
    <xf numFmtId="0" fontId="52" fillId="2" borderId="1" xfId="0" applyFont="1" applyFill="1" applyBorder="1" applyAlignment="1">
      <alignment horizontal="center" vertical="center"/>
    </xf>
    <xf numFmtId="0" fontId="52" fillId="2" borderId="1" xfId="0" applyFont="1" applyFill="1" applyBorder="1" applyAlignment="1">
      <alignment horizontal="left" vertical="center" wrapText="1"/>
    </xf>
    <xf numFmtId="0" fontId="46" fillId="0" borderId="2" xfId="0" applyFont="1" applyBorder="1" applyAlignment="1">
      <alignment horizontal="left" vertical="center" wrapText="1"/>
    </xf>
    <xf numFmtId="0" fontId="46" fillId="0" borderId="7" xfId="0" applyFont="1" applyBorder="1" applyAlignment="1">
      <alignment horizontal="left" vertical="center" wrapText="1"/>
    </xf>
    <xf numFmtId="0" fontId="46" fillId="0" borderId="5" xfId="0" applyFont="1" applyBorder="1" applyAlignment="1">
      <alignment horizontal="left" vertical="center" wrapText="1"/>
    </xf>
    <xf numFmtId="0" fontId="49" fillId="6" borderId="2" xfId="0" applyFont="1" applyFill="1" applyBorder="1" applyAlignment="1">
      <alignment horizontal="center" vertical="center" wrapText="1"/>
    </xf>
    <xf numFmtId="0" fontId="49" fillId="6" borderId="7" xfId="0" applyFont="1" applyFill="1" applyBorder="1" applyAlignment="1">
      <alignment horizontal="center" vertical="center" wrapText="1"/>
    </xf>
    <xf numFmtId="0" fontId="49" fillId="6" borderId="5" xfId="0" applyFont="1" applyFill="1" applyBorder="1" applyAlignment="1">
      <alignment horizontal="center" vertical="center" wrapText="1"/>
    </xf>
    <xf numFmtId="0" fontId="49" fillId="6" borderId="2" xfId="0" applyFont="1" applyFill="1" applyBorder="1" applyAlignment="1">
      <alignment horizontal="left" vertical="center" wrapText="1"/>
    </xf>
    <xf numFmtId="0" fontId="49" fillId="6" borderId="7" xfId="0" applyFont="1" applyFill="1" applyBorder="1" applyAlignment="1">
      <alignment horizontal="left" vertical="center" wrapText="1"/>
    </xf>
    <xf numFmtId="0" fontId="49" fillId="6" borderId="5" xfId="0" applyFont="1" applyFill="1" applyBorder="1" applyAlignment="1">
      <alignment horizontal="left" vertical="center" wrapText="1"/>
    </xf>
    <xf numFmtId="0" fontId="74" fillId="8" borderId="2" xfId="0" applyFont="1" applyFill="1" applyBorder="1" applyAlignment="1">
      <alignment horizontal="center" vertical="center"/>
    </xf>
    <xf numFmtId="0" fontId="74" fillId="8" borderId="7" xfId="0" applyFont="1" applyFill="1" applyBorder="1" applyAlignment="1">
      <alignment horizontal="center" vertical="center"/>
    </xf>
    <xf numFmtId="0" fontId="74" fillId="8" borderId="5" xfId="0" applyFont="1" applyFill="1" applyBorder="1" applyAlignment="1">
      <alignment horizontal="center" vertical="center"/>
    </xf>
    <xf numFmtId="0" fontId="75" fillId="8" borderId="5" xfId="0" applyFont="1" applyFill="1" applyBorder="1" applyAlignment="1">
      <alignment horizontal="left" vertical="center" wrapText="1"/>
    </xf>
    <xf numFmtId="0" fontId="49" fillId="0" borderId="11" xfId="0" applyFont="1" applyBorder="1" applyAlignment="1">
      <alignment horizontal="center" vertical="center"/>
    </xf>
    <xf numFmtId="0" fontId="49" fillId="0" borderId="10" xfId="0" applyFont="1" applyBorder="1" applyAlignment="1">
      <alignment horizontal="center" vertical="center"/>
    </xf>
    <xf numFmtId="0" fontId="49" fillId="0" borderId="24" xfId="0" applyFont="1" applyBorder="1" applyAlignment="1">
      <alignment horizontal="center" vertical="center"/>
    </xf>
    <xf numFmtId="0" fontId="49" fillId="0" borderId="8" xfId="0" applyFont="1" applyBorder="1" applyAlignment="1">
      <alignment horizontal="center" vertical="center"/>
    </xf>
    <xf numFmtId="0" fontId="49" fillId="0" borderId="6" xfId="0" applyFont="1" applyBorder="1" applyAlignment="1">
      <alignment horizontal="center" vertical="center"/>
    </xf>
    <xf numFmtId="0" fontId="49" fillId="0" borderId="25" xfId="0" applyFont="1" applyBorder="1" applyAlignment="1">
      <alignment horizontal="center" vertical="center"/>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111" fillId="0" borderId="6" xfId="0" applyFont="1" applyFill="1" applyBorder="1" applyAlignment="1">
      <alignment horizontal="center" vertical="center"/>
    </xf>
    <xf numFmtId="0" fontId="52" fillId="0" borderId="0" xfId="0" applyFont="1" applyFill="1" applyAlignment="1">
      <alignment horizontal="center"/>
    </xf>
    <xf numFmtId="0" fontId="89" fillId="2" borderId="0" xfId="18" applyFont="1" applyFill="1" applyAlignment="1">
      <alignment horizontal="center" vertical="center"/>
    </xf>
    <xf numFmtId="0" fontId="17" fillId="0" borderId="0"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74" fillId="0" borderId="6" xfId="0" applyFont="1" applyFill="1" applyBorder="1" applyAlignment="1">
      <alignment horizontal="right" vertical="center" wrapText="1"/>
    </xf>
    <xf numFmtId="0" fontId="74" fillId="0" borderId="0" xfId="0" applyFont="1" applyFill="1" applyBorder="1" applyAlignment="1">
      <alignment horizontal="center" vertical="center" wrapText="1"/>
    </xf>
    <xf numFmtId="0" fontId="91" fillId="0" borderId="1" xfId="0" applyFont="1" applyBorder="1" applyAlignment="1">
      <alignment horizontal="center" vertical="center" wrapText="1"/>
    </xf>
    <xf numFmtId="0" fontId="91" fillId="0" borderId="1" xfId="0" applyFont="1" applyBorder="1" applyAlignment="1">
      <alignment horizontal="justify" vertical="center" wrapText="1"/>
    </xf>
    <xf numFmtId="0" fontId="92" fillId="0" borderId="1" xfId="0" applyFont="1" applyBorder="1" applyAlignment="1">
      <alignment horizontal="center" vertical="center" wrapText="1"/>
    </xf>
    <xf numFmtId="0" fontId="91" fillId="0" borderId="1" xfId="0" applyFont="1" applyBorder="1" applyAlignment="1">
      <alignment vertical="center" wrapText="1"/>
    </xf>
    <xf numFmtId="0" fontId="93" fillId="0" borderId="1" xfId="0" applyFont="1" applyBorder="1" applyAlignment="1">
      <alignment horizontal="center" vertical="center" wrapText="1"/>
    </xf>
    <xf numFmtId="0" fontId="92" fillId="0" borderId="1" xfId="0" applyFont="1" applyBorder="1" applyAlignment="1">
      <alignment horizontal="justify" vertical="center" wrapText="1"/>
    </xf>
    <xf numFmtId="0" fontId="85" fillId="0" borderId="0" xfId="0" applyFont="1" applyBorder="1" applyAlignment="1">
      <alignment vertical="center" wrapText="1"/>
    </xf>
    <xf numFmtId="0" fontId="94" fillId="0" borderId="1" xfId="0" applyFont="1" applyBorder="1" applyAlignment="1">
      <alignment horizontal="center" vertical="center" wrapText="1"/>
    </xf>
    <xf numFmtId="0" fontId="44" fillId="0" borderId="1" xfId="0" applyFont="1" applyBorder="1" applyAlignment="1">
      <alignment horizontal="left" vertical="center" wrapText="1"/>
    </xf>
    <xf numFmtId="0" fontId="92" fillId="0" borderId="1" xfId="0" applyFont="1" applyBorder="1" applyAlignment="1">
      <alignment horizontal="left" vertical="center" wrapText="1"/>
    </xf>
    <xf numFmtId="0" fontId="22" fillId="0" borderId="17" xfId="0" applyFont="1" applyBorder="1" applyAlignment="1">
      <alignment vertical="center" wrapText="1"/>
    </xf>
    <xf numFmtId="0" fontId="22" fillId="0" borderId="18" xfId="0" applyFont="1" applyBorder="1" applyAlignment="1">
      <alignment vertical="center" wrapText="1"/>
    </xf>
    <xf numFmtId="0" fontId="22" fillId="0" borderId="15" xfId="0" applyFont="1" applyBorder="1" applyAlignment="1">
      <alignment vertical="center" wrapText="1"/>
    </xf>
    <xf numFmtId="0" fontId="96" fillId="0" borderId="12" xfId="0" applyFont="1" applyBorder="1" applyAlignment="1">
      <alignment horizontal="center" vertical="center" wrapText="1"/>
    </xf>
    <xf numFmtId="0" fontId="96" fillId="0" borderId="14"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4" xfId="0" applyFont="1" applyBorder="1" applyAlignment="1">
      <alignment horizontal="center" vertical="center" wrapText="1"/>
    </xf>
    <xf numFmtId="0" fontId="46" fillId="0" borderId="12" xfId="0" applyFont="1" applyBorder="1" applyAlignment="1">
      <alignment vertical="center" wrapText="1"/>
    </xf>
    <xf numFmtId="0" fontId="46" fillId="0" borderId="14" xfId="0" applyFont="1" applyBorder="1" applyAlignment="1">
      <alignment vertical="center" wrapText="1"/>
    </xf>
    <xf numFmtId="0" fontId="46" fillId="0" borderId="12"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2" xfId="0" applyFont="1" applyBorder="1" applyAlignment="1">
      <alignment horizontal="justify" vertical="center" wrapText="1"/>
    </xf>
    <xf numFmtId="0" fontId="46" fillId="0" borderId="14" xfId="0" applyFont="1" applyBorder="1" applyAlignment="1">
      <alignment horizontal="justify" vertical="center" wrapText="1"/>
    </xf>
    <xf numFmtId="0" fontId="95" fillId="0" borderId="12" xfId="0" applyFont="1" applyBorder="1" applyAlignment="1">
      <alignment horizontal="center" vertical="center" wrapText="1"/>
    </xf>
    <xf numFmtId="0" fontId="95" fillId="0" borderId="14" xfId="0" applyFont="1" applyBorder="1" applyAlignment="1">
      <alignment horizontal="center" vertical="center" wrapText="1"/>
    </xf>
    <xf numFmtId="0" fontId="96" fillId="0" borderId="12" xfId="0" applyFont="1" applyBorder="1" applyAlignment="1">
      <alignment horizontal="justify" vertical="center" wrapText="1"/>
    </xf>
    <xf numFmtId="0" fontId="96" fillId="0" borderId="14" xfId="0" applyFont="1" applyBorder="1" applyAlignment="1">
      <alignment horizontal="justify" vertical="center" wrapText="1"/>
    </xf>
    <xf numFmtId="0" fontId="85" fillId="0" borderId="19" xfId="0" applyFont="1" applyBorder="1" applyAlignment="1">
      <alignment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2" xfId="0" applyFont="1" applyBorder="1" applyAlignment="1">
      <alignment horizontal="justify" vertical="center" wrapText="1"/>
    </xf>
    <xf numFmtId="0" fontId="22" fillId="0" borderId="14" xfId="0" applyFont="1" applyBorder="1" applyAlignment="1">
      <alignment horizontal="justify" vertical="center" wrapText="1"/>
    </xf>
  </cellXfs>
  <cellStyles count="24">
    <cellStyle name="Bình thường 3" xfId="6" xr:uid="{00000000-0005-0000-0000-000000000000}"/>
    <cellStyle name="Comma" xfId="1" builtinId="3"/>
    <cellStyle name="Comma 2" xfId="3" xr:uid="{00000000-0005-0000-0000-000002000000}"/>
    <cellStyle name="Comma 2 2" xfId="19" xr:uid="{00000000-0005-0000-0000-000003000000}"/>
    <cellStyle name="Comma 3" xfId="5" xr:uid="{00000000-0005-0000-0000-000004000000}"/>
    <cellStyle name="Comma 4" xfId="7" xr:uid="{00000000-0005-0000-0000-000005000000}"/>
    <cellStyle name="Comma 5" xfId="10" xr:uid="{00000000-0005-0000-0000-000006000000}"/>
    <cellStyle name="Hyperlink" xfId="17" builtinId="8"/>
    <cellStyle name="Normal" xfId="0" builtinId="0"/>
    <cellStyle name="Normal 2" xfId="2" xr:uid="{00000000-0005-0000-0000-000009000000}"/>
    <cellStyle name="Normal 2 3" xfId="15" xr:uid="{00000000-0005-0000-0000-00000A000000}"/>
    <cellStyle name="Normal 2 4" xfId="13" xr:uid="{00000000-0005-0000-0000-00000B000000}"/>
    <cellStyle name="Normal 2 4 2" xfId="21" xr:uid="{00000000-0005-0000-0000-00000C000000}"/>
    <cellStyle name="Normal 3" xfId="4" xr:uid="{00000000-0005-0000-0000-00000D000000}"/>
    <cellStyle name="Normal 3 2" xfId="16" xr:uid="{00000000-0005-0000-0000-00000E000000}"/>
    <cellStyle name="Normal 4" xfId="9" xr:uid="{00000000-0005-0000-0000-00000F000000}"/>
    <cellStyle name="Normal 4 2" xfId="22" xr:uid="{00000000-0005-0000-0000-000010000000}"/>
    <cellStyle name="Normal 40" xfId="23" xr:uid="{00000000-0005-0000-0000-000011000000}"/>
    <cellStyle name="Normal 5" xfId="20" xr:uid="{00000000-0005-0000-0000-000012000000}"/>
    <cellStyle name="Normal 8" xfId="18" xr:uid="{00000000-0005-0000-0000-000013000000}"/>
    <cellStyle name="Normal_001-b" xfId="14" xr:uid="{00000000-0005-0000-0000-000014000000}"/>
    <cellStyle name="Normal_END-09a-C-02A-PLANNING" xfId="12" xr:uid="{00000000-0005-0000-0000-000015000000}"/>
    <cellStyle name="Percent 2" xfId="8" xr:uid="{00000000-0005-0000-0000-000016000000}"/>
    <cellStyle name="Style 1" xfId="11" xr:uid="{00000000-0005-0000-0000-000017000000}"/>
  </cellStyles>
  <dxfs count="0"/>
  <tableStyles count="0" defaultTableStyle="TableStyleMedium2" defaultPivotStyle="PivotStyleLight16"/>
  <colors>
    <mruColors>
      <color rgb="FFFFFF99"/>
      <color rgb="FF6600CC"/>
      <color rgb="FF000099"/>
      <color rgb="FF69D8FF"/>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9</xdr:col>
      <xdr:colOff>190500</xdr:colOff>
      <xdr:row>0</xdr:row>
      <xdr:rowOff>19050</xdr:rowOff>
    </xdr:from>
    <xdr:to>
      <xdr:col>10</xdr:col>
      <xdr:colOff>628650</xdr:colOff>
      <xdr:row>1</xdr:row>
      <xdr:rowOff>95250</xdr:rowOff>
    </xdr:to>
    <xdr:sp macro="" textlink="">
      <xdr:nvSpPr>
        <xdr:cNvPr id="2" name="Rectangle 1">
          <a:extLst>
            <a:ext uri="{FF2B5EF4-FFF2-40B4-BE49-F238E27FC236}">
              <a16:creationId xmlns:a16="http://schemas.microsoft.com/office/drawing/2014/main" id="{00000000-0008-0000-0A00-000002000000}"/>
            </a:ext>
          </a:extLst>
        </xdr:cNvPr>
        <xdr:cNvSpPr>
          <a:spLocks noChangeArrowheads="1"/>
        </xdr:cNvSpPr>
      </xdr:nvSpPr>
      <xdr:spPr bwMode="auto">
        <a:xfrm>
          <a:off x="8153400" y="19050"/>
          <a:ext cx="1171575" cy="2762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300" b="1" i="0" u="none" strike="noStrike" baseline="0">
              <a:solidFill>
                <a:srgbClr val="0000FF"/>
              </a:solidFill>
              <a:latin typeface="Times New Roman"/>
              <a:cs typeface="Times New Roman"/>
            </a:rPr>
            <a:t>Phụ lục </a:t>
          </a:r>
          <a:endParaRPr lang="en-US" sz="1300" b="1" i="0" u="none" strike="noStrike" baseline="0">
            <a:solidFill>
              <a:srgbClr val="0000FF"/>
            </a:solidFill>
            <a:latin typeface=".VnTime"/>
          </a:endParaRPr>
        </a:p>
        <a:p>
          <a:pPr algn="ctr" rtl="0">
            <a:defRPr sz="1000"/>
          </a:pPr>
          <a:r>
            <a:rPr lang="en-US" sz="1000" b="1" i="0" u="none" strike="noStrike" baseline="0">
              <a:solidFill>
                <a:srgbClr val="0000FF"/>
              </a:solidFill>
              <a:latin typeface="Times New Roman"/>
              <a:cs typeface="Times New Roman"/>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ts\Downloads\Du%20toan%20de%20tai%20KHHD%20(sua%2026.10.2018)%20(Viet%20su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Desktop\&#272;&#7873;%20c&#432;&#417;ng%20Atlas%20(Final)\Du%20toan_Atlatkhihau_CanTho_V9_0907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oan 1"/>
      <sheetName val="Chuyen gia"/>
      <sheetName val="Khoan 2"/>
      <sheetName val="Khoan 3"/>
      <sheetName val="Tổng ngày công mõi thành viên"/>
      <sheetName val="Luong"/>
      <sheetName val="Sheet1"/>
      <sheetName val="Tong ngay cong"/>
    </sheetNames>
    <sheetDataSet>
      <sheetData sheetId="0">
        <row r="5">
          <cell r="I5">
            <v>111300</v>
          </cell>
        </row>
      </sheetData>
      <sheetData sheetId="1"/>
      <sheetData sheetId="2"/>
      <sheetData sheetId="3"/>
      <sheetData sheetId="4">
        <row r="5">
          <cell r="C5">
            <v>65</v>
          </cell>
        </row>
      </sheetData>
      <sheetData sheetId="5">
        <row r="6">
          <cell r="E6" t="str">
            <v>Cả 3 năm</v>
          </cell>
        </row>
        <row r="9">
          <cell r="C9" t="str">
            <v>Nguyễn Thị Lan Anh</v>
          </cell>
        </row>
        <row r="10">
          <cell r="C10" t="str">
            <v>Nguyễn Việt Dũng</v>
          </cell>
        </row>
        <row r="16">
          <cell r="C16" t="str">
            <v>Nguyễn Huy Dũng</v>
          </cell>
        </row>
        <row r="17">
          <cell r="C17" t="str">
            <v>Nguyễn Tiến Hùng</v>
          </cell>
        </row>
        <row r="18">
          <cell r="C18" t="str">
            <v>Phan Thị Hằng</v>
          </cell>
        </row>
        <row r="19">
          <cell r="C19" t="str">
            <v>Đỗ Thị Ngọc Mai</v>
          </cell>
        </row>
        <row r="21">
          <cell r="C21" t="str">
            <v>Vũ Việt Hà</v>
          </cell>
        </row>
        <row r="23">
          <cell r="C23" t="str">
            <v>Vương Thu Hoài</v>
          </cell>
        </row>
        <row r="31">
          <cell r="C31" t="str">
            <v>Phạm Trung Quân</v>
          </cell>
        </row>
        <row r="37">
          <cell r="C37" t="str">
            <v>Nguyễn Thị Hạnh</v>
          </cell>
        </row>
        <row r="42">
          <cell r="C42" t="str">
            <v>Nguyễn Tiến Trung</v>
          </cell>
        </row>
      </sheetData>
      <sheetData sheetId="6">
        <row r="6">
          <cell r="L6">
            <v>330029.43750000006</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ự toán (TH)"/>
      <sheetName val="PLII.Điều tra.KS"/>
      <sheetName val="PLIII.Nhân công"/>
      <sheetName val="Đơn giá tiền công"/>
      <sheetName val="Tong hop cong"/>
      <sheetName val="PL 4b. Chi tiết hội thảo"/>
      <sheetName val="PL 4a Hội thảo-nghiệm thu"/>
      <sheetName val="Du toan_TH"/>
      <sheetName val="PLI.Nhan cong"/>
      <sheetName val="PL3. Khao sat"/>
      <sheetName val="DT_Tong hop"/>
      <sheetName val="PL1_nhan cong"/>
      <sheetName val="PL2. Hoi thao"/>
      <sheetName val="PL3. Khao sat_109"/>
      <sheetName val="PL4. Nghiem thu"/>
      <sheetName val="PL1b_Don gia cong"/>
      <sheetName val="Ban do"/>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9">
          <cell r="H9">
            <v>1011000</v>
          </cell>
          <cell r="I9">
            <v>1202000</v>
          </cell>
          <cell r="J9">
            <v>1242000</v>
          </cell>
        </row>
      </sheetData>
      <sheetData sheetId="16">
        <row r="7">
          <cell r="R7">
            <v>143595840</v>
          </cell>
        </row>
      </sheetData>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
  <sheetViews>
    <sheetView topLeftCell="A22" zoomScale="85" zoomScaleNormal="85" workbookViewId="0">
      <selection activeCell="B30" sqref="B30"/>
    </sheetView>
  </sheetViews>
  <sheetFormatPr defaultColWidth="9.28515625" defaultRowHeight="18.75" x14ac:dyDescent="0.3"/>
  <cols>
    <col min="1" max="1" width="8" style="151" customWidth="1"/>
    <col min="2" max="2" width="55.7109375" style="37" customWidth="1"/>
    <col min="3" max="3" width="10.7109375" style="38" hidden="1" customWidth="1"/>
    <col min="4" max="4" width="10.7109375" style="39" hidden="1" customWidth="1"/>
    <col min="5" max="5" width="15.7109375" style="39" hidden="1" customWidth="1"/>
    <col min="6" max="6" width="1.85546875" style="39" hidden="1" customWidth="1"/>
    <col min="7" max="7" width="16.7109375" style="34" customWidth="1"/>
    <col min="8" max="8" width="19" style="34" customWidth="1"/>
    <col min="9" max="9" width="16.7109375" style="34" customWidth="1"/>
    <col min="10" max="10" width="15.7109375" style="34" customWidth="1"/>
    <col min="11" max="16384" width="9.28515625" style="34"/>
  </cols>
  <sheetData>
    <row r="1" spans="1:10" x14ac:dyDescent="0.3">
      <c r="A1" s="1000" t="s">
        <v>22</v>
      </c>
      <c r="B1" s="1000"/>
      <c r="C1" s="1000"/>
      <c r="D1" s="1000"/>
      <c r="E1" s="1000"/>
      <c r="F1" s="1000"/>
      <c r="G1" s="1000"/>
      <c r="H1" s="1000"/>
    </row>
    <row r="2" spans="1:10" ht="39.75" customHeight="1" x14ac:dyDescent="0.3">
      <c r="A2" s="1001" t="s">
        <v>148</v>
      </c>
      <c r="B2" s="1001"/>
      <c r="C2" s="1001"/>
      <c r="D2" s="1001"/>
      <c r="E2" s="1001"/>
      <c r="F2" s="1001"/>
      <c r="G2" s="1001"/>
      <c r="H2" s="1001"/>
    </row>
    <row r="3" spans="1:10" s="35" customFormat="1" ht="24.75" customHeight="1" x14ac:dyDescent="0.3">
      <c r="A3" s="1002" t="s">
        <v>149</v>
      </c>
      <c r="B3" s="1002"/>
      <c r="C3" s="1002"/>
      <c r="D3" s="1002"/>
      <c r="E3" s="1002"/>
      <c r="F3" s="1002"/>
      <c r="G3" s="1002"/>
      <c r="H3" s="1002"/>
    </row>
    <row r="4" spans="1:10" s="36" customFormat="1" x14ac:dyDescent="0.3">
      <c r="A4" s="150"/>
      <c r="B4" s="57"/>
      <c r="C4" s="57"/>
      <c r="D4" s="57"/>
      <c r="E4" s="57"/>
      <c r="F4" s="57"/>
      <c r="G4" s="1003" t="s">
        <v>20</v>
      </c>
      <c r="H4" s="1003"/>
    </row>
    <row r="5" spans="1:10" ht="23.25" customHeight="1" x14ac:dyDescent="0.3">
      <c r="A5" s="95" t="s">
        <v>0</v>
      </c>
      <c r="B5" s="58" t="s">
        <v>1</v>
      </c>
      <c r="C5" s="58" t="s">
        <v>2</v>
      </c>
      <c r="D5" s="59" t="s">
        <v>3</v>
      </c>
      <c r="E5" s="59" t="s">
        <v>12</v>
      </c>
      <c r="F5" s="59" t="s">
        <v>13</v>
      </c>
      <c r="G5" s="58" t="s">
        <v>43</v>
      </c>
      <c r="H5" s="58" t="s">
        <v>21</v>
      </c>
    </row>
    <row r="6" spans="1:10" s="56" customFormat="1" ht="33" x14ac:dyDescent="0.3">
      <c r="A6" s="255" t="str">
        <f>+'PLII.Điều tra.KS'!A5</f>
        <v>A</v>
      </c>
      <c r="B6" s="256" t="str">
        <f>+'PLII.Điều tra.KS'!B5</f>
        <v>ĐIỀU TRA, KHẢO SÁT THU THẬP SỐ LIỆU</v>
      </c>
      <c r="C6" s="257"/>
      <c r="D6" s="258"/>
      <c r="E6" s="259" t="e">
        <f>SUM(E7:E10)</f>
        <v>#REF!</v>
      </c>
      <c r="F6" s="260"/>
      <c r="G6" s="259">
        <f>G7</f>
        <v>281200000</v>
      </c>
      <c r="H6" s="256" t="s">
        <v>23</v>
      </c>
      <c r="I6" s="216" t="e">
        <f>SUM(#REF!)</f>
        <v>#REF!</v>
      </c>
      <c r="J6" s="261"/>
    </row>
    <row r="7" spans="1:10" ht="33" x14ac:dyDescent="0.3">
      <c r="A7" s="214" t="s">
        <v>5</v>
      </c>
      <c r="B7" s="215" t="str">
        <f>'PLII.Điều tra.KS'!B6</f>
        <v>Chi khảo sát thu thập số liệu thực trạng (chi phương tiện đi lại, phụ cấp lưu trú, thuê phòng nghỉ)</v>
      </c>
      <c r="C7" s="262"/>
      <c r="D7" s="263"/>
      <c r="E7" s="264" t="e">
        <f>+'PLII.Điều tra.KS'!#REF!</f>
        <v>#REF!</v>
      </c>
      <c r="F7" s="263"/>
      <c r="G7" s="265">
        <f>'PLII.Điều tra.KS'!E6</f>
        <v>281200000</v>
      </c>
      <c r="H7" s="220"/>
      <c r="I7" s="216">
        <f>SUM(G8:G10)</f>
        <v>281200000</v>
      </c>
      <c r="J7" s="217"/>
    </row>
    <row r="8" spans="1:10" ht="33" customHeight="1" x14ac:dyDescent="0.3">
      <c r="A8" s="214"/>
      <c r="B8" s="266" t="str">
        <f>'PLII.Điều tra.KS'!B7</f>
        <v>Điều tra, khảo sát tại Buôn Ma Thuột (7 người, 7 ngày)</v>
      </c>
      <c r="C8" s="267"/>
      <c r="D8" s="268"/>
      <c r="E8" s="269"/>
      <c r="F8" s="268"/>
      <c r="G8" s="270">
        <f>'PLII.Điều tra.KS'!E7</f>
        <v>69100000</v>
      </c>
      <c r="H8" s="220"/>
      <c r="I8" s="216"/>
      <c r="J8" s="217"/>
    </row>
    <row r="9" spans="1:10" x14ac:dyDescent="0.3">
      <c r="A9" s="214"/>
      <c r="B9" s="266" t="str">
        <f>'PLII.Điều tra.KS'!B12</f>
        <v xml:space="preserve">Điều tra, khảo sát tại Tp Tuy Hòa (7 người, 7 ngày) </v>
      </c>
      <c r="C9" s="267"/>
      <c r="D9" s="268"/>
      <c r="E9" s="269"/>
      <c r="F9" s="268"/>
      <c r="G9" s="270">
        <f>'PLII.Điều tra.KS'!E12</f>
        <v>74500000</v>
      </c>
      <c r="H9" s="220"/>
      <c r="I9" s="216"/>
      <c r="J9" s="217"/>
    </row>
    <row r="10" spans="1:10" ht="33" x14ac:dyDescent="0.3">
      <c r="A10" s="214"/>
      <c r="B10" s="266" t="str">
        <f>'PLII.Điều tra.KS'!B17</f>
        <v>Điều tra, khảo sát tại Bến Tre và Tiền Giang và 1 số tỉnh lân cận (7 người, 15 ngày)</v>
      </c>
      <c r="C10" s="267"/>
      <c r="D10" s="268"/>
      <c r="E10" s="269"/>
      <c r="F10" s="268"/>
      <c r="G10" s="270">
        <f>'PLII.Điều tra.KS'!E17</f>
        <v>137600000</v>
      </c>
      <c r="H10" s="220"/>
      <c r="I10" s="216"/>
      <c r="J10" s="217"/>
    </row>
    <row r="11" spans="1:10" x14ac:dyDescent="0.3">
      <c r="A11" s="255" t="s">
        <v>7</v>
      </c>
      <c r="B11" s="256" t="s">
        <v>73</v>
      </c>
      <c r="C11" s="262"/>
      <c r="D11" s="271"/>
      <c r="E11" s="219"/>
      <c r="F11" s="272"/>
      <c r="G11" s="273" t="e">
        <f>G12+G15+G16+G21+G24+G30+G14+G29</f>
        <v>#REF!</v>
      </c>
      <c r="H11" s="273"/>
      <c r="I11" s="216" t="e">
        <f>SUM(#REF!)</f>
        <v>#REF!</v>
      </c>
      <c r="J11" s="217"/>
    </row>
    <row r="12" spans="1:10" s="152" customFormat="1" ht="33" x14ac:dyDescent="0.3">
      <c r="A12" s="214">
        <v>1</v>
      </c>
      <c r="B12" s="215" t="str">
        <f>'PLIII.Nhân công'!C6</f>
        <v xml:space="preserve">Xây dựng đề cương </v>
      </c>
      <c r="C12" s="262"/>
      <c r="D12" s="271"/>
      <c r="E12" s="274" t="e">
        <f>SUM(E15:E30)</f>
        <v>#REF!</v>
      </c>
      <c r="F12" s="274">
        <f>SUM(F15:F30)</f>
        <v>0</v>
      </c>
      <c r="G12" s="275" t="e">
        <f>'PLIII.Nhân công'!G6</f>
        <v>#REF!</v>
      </c>
      <c r="H12" s="215" t="s">
        <v>24</v>
      </c>
      <c r="I12" s="216" t="e">
        <f>SUM(#REF!)</f>
        <v>#REF!</v>
      </c>
      <c r="J12" s="276"/>
    </row>
    <row r="13" spans="1:10" s="152" customFormat="1" ht="28.5" customHeight="1" x14ac:dyDescent="0.3">
      <c r="A13" s="214">
        <v>2</v>
      </c>
      <c r="B13" s="277" t="str">
        <f>'PLIII.Nhân công'!C11</f>
        <v>Nội dung công việc thực hiện</v>
      </c>
      <c r="C13" s="278"/>
      <c r="D13" s="279"/>
      <c r="E13" s="274"/>
      <c r="F13" s="274"/>
      <c r="G13" s="275"/>
      <c r="H13" s="215"/>
      <c r="I13" s="216" t="e">
        <f>SUM(#REF!)</f>
        <v>#REF!</v>
      </c>
      <c r="J13" s="276"/>
    </row>
    <row r="14" spans="1:10" s="152" customFormat="1" ht="33" x14ac:dyDescent="0.3">
      <c r="A14" s="214">
        <v>2.1</v>
      </c>
      <c r="B14" s="215" t="s">
        <v>138</v>
      </c>
      <c r="C14" s="278"/>
      <c r="D14" s="279"/>
      <c r="E14" s="274"/>
      <c r="F14" s="274"/>
      <c r="G14" s="275">
        <f>'PLIII.Nhân công'!G12</f>
        <v>20264000.000000004</v>
      </c>
      <c r="H14" s="215"/>
      <c r="I14" s="216"/>
      <c r="J14" s="276"/>
    </row>
    <row r="15" spans="1:10" s="217" customFormat="1" ht="49.5" x14ac:dyDescent="0.3">
      <c r="A15" s="214">
        <f>'PLIII.Nhân công'!A20</f>
        <v>2.2000000000000002</v>
      </c>
      <c r="B15" s="215" t="str">
        <f>'PLIII.Nhân công'!C20</f>
        <v>Tổng quan tác động của biến đổi khí 
hậu tới công tác cấp nước vùng ĐBSCL, Tây Nguyên và Nam Trung Bộ</v>
      </c>
      <c r="C15" s="218"/>
      <c r="D15" s="218"/>
      <c r="E15" s="219" t="e">
        <f>+#REF!</f>
        <v>#REF!</v>
      </c>
      <c r="F15" s="219"/>
      <c r="G15" s="219">
        <f>'PLIII.Nhân công'!G20</f>
        <v>35462000.000000007</v>
      </c>
      <c r="H15" s="220"/>
      <c r="I15" s="216" t="e">
        <f>SUM(#REF!)</f>
        <v>#REF!</v>
      </c>
    </row>
    <row r="16" spans="1:10" s="217" customFormat="1" ht="33" x14ac:dyDescent="0.3">
      <c r="A16" s="214">
        <v>2.2999999999999998</v>
      </c>
      <c r="B16" s="218" t="str">
        <f>'PLIII.Nhân công'!C24</f>
        <v xml:space="preserve">Rà soát đánh giá quy hoạch, quản lý hạ tầng cấp nước đô thị tại 4 tỉnh/thành phố đại diện </v>
      </c>
      <c r="C16" s="218"/>
      <c r="D16" s="218"/>
      <c r="E16" s="219" t="e">
        <f>+#REF!</f>
        <v>#REF!</v>
      </c>
      <c r="F16" s="219"/>
      <c r="G16" s="219">
        <f>'PLIII.Nhân công'!G24</f>
        <v>73457000.000000015</v>
      </c>
      <c r="H16" s="219"/>
      <c r="I16" s="216" t="e">
        <f>SUM(#REF!)</f>
        <v>#REF!</v>
      </c>
    </row>
    <row r="17" spans="1:10" s="36" customFormat="1" ht="33" x14ac:dyDescent="0.3">
      <c r="A17" s="280" t="s">
        <v>81</v>
      </c>
      <c r="B17" s="281" t="str">
        <f>'PLIII.Nhân công'!C25</f>
        <v>Tổng quan hiện trạng và quy hoạch cấp nước 04 đô thị</v>
      </c>
      <c r="C17" s="281"/>
      <c r="D17" s="281"/>
      <c r="E17" s="282"/>
      <c r="F17" s="282"/>
      <c r="G17" s="282">
        <f>'PLIII.Nhân công'!G25</f>
        <v>22797000.000000004</v>
      </c>
      <c r="H17" s="282"/>
      <c r="I17" s="216" t="e">
        <f>SUM(#REF!)</f>
        <v>#REF!</v>
      </c>
      <c r="J17" s="283"/>
    </row>
    <row r="18" spans="1:10" s="36" customFormat="1" ht="33" x14ac:dyDescent="0.3">
      <c r="A18" s="280" t="s">
        <v>82</v>
      </c>
      <c r="B18" s="281" t="str">
        <f>'PLIII.Nhân công'!C28</f>
        <v>Tổng quan các dự án, chương trình liên quan tới cấp nước ứng phó với BĐKH của 04 đô thị</v>
      </c>
      <c r="C18" s="281"/>
      <c r="D18" s="281"/>
      <c r="E18" s="282"/>
      <c r="F18" s="282"/>
      <c r="G18" s="282">
        <f>'PLIII.Nhân công'!G28</f>
        <v>10132000.000000002</v>
      </c>
      <c r="H18" s="282"/>
      <c r="I18" s="216" t="e">
        <f>SUM(#REF!)</f>
        <v>#REF!</v>
      </c>
      <c r="J18" s="283"/>
    </row>
    <row r="19" spans="1:10" s="36" customFormat="1" ht="33" x14ac:dyDescent="0.3">
      <c r="A19" s="280" t="s">
        <v>143</v>
      </c>
      <c r="B19" s="281" t="str">
        <f>'PLIII.Nhân công'!C30</f>
        <v>Đánh giá hiệu quả trong công tác quy hoạch và quản lý cấp nước 04 đô thị.</v>
      </c>
      <c r="C19" s="281"/>
      <c r="D19" s="281"/>
      <c r="E19" s="282"/>
      <c r="F19" s="282"/>
      <c r="G19" s="282">
        <f>'PLIII.Nhân công'!G30</f>
        <v>27863000.000000004</v>
      </c>
      <c r="H19" s="282"/>
      <c r="I19" s="216" t="e">
        <f>SUM(#REF!)</f>
        <v>#REF!</v>
      </c>
      <c r="J19" s="283"/>
    </row>
    <row r="20" spans="1:10" s="36" customFormat="1" ht="49.5" x14ac:dyDescent="0.3">
      <c r="A20" s="280" t="s">
        <v>126</v>
      </c>
      <c r="B20" s="281" t="str">
        <f>'PLIII.Nhân công'!C34</f>
        <v>Đánh giá các thách thức và khó khăn trong công tác quy hoạch và quản lý cấp nước trong bối cảnh biến đổi khí hậu của 04 đô thị.</v>
      </c>
      <c r="C20" s="281"/>
      <c r="D20" s="281"/>
      <c r="E20" s="282"/>
      <c r="F20" s="282"/>
      <c r="G20" s="282">
        <f>'PLIII.Nhân công'!G34</f>
        <v>12665000.000000002</v>
      </c>
      <c r="H20" s="282"/>
      <c r="I20" s="216" t="e">
        <f>SUM(#REF!)</f>
        <v>#REF!</v>
      </c>
      <c r="J20" s="283"/>
    </row>
    <row r="21" spans="1:10" s="217" customFormat="1" ht="49.5" x14ac:dyDescent="0.3">
      <c r="A21" s="214">
        <v>2.4</v>
      </c>
      <c r="B21" s="218" t="str">
        <f>'PLIII.Nhân công'!C37</f>
        <v>Tổng hợp các kinh nghiệm quốc tế trong quy hoạch và quản lý cấp nước ứng phó với hạn hán, thiếu nước trong bối cảnh BĐKH</v>
      </c>
      <c r="C21" s="218"/>
      <c r="D21" s="218"/>
      <c r="E21" s="219"/>
      <c r="F21" s="219"/>
      <c r="G21" s="219">
        <f>'PLIII.Nhân công'!G37</f>
        <v>75990000.000000015</v>
      </c>
      <c r="H21" s="219"/>
      <c r="I21" s="216" t="e">
        <f>SUM(#REF!)</f>
        <v>#REF!</v>
      </c>
    </row>
    <row r="22" spans="1:10" s="36" customFormat="1" ht="33" x14ac:dyDescent="0.3">
      <c r="A22" s="280" t="s">
        <v>83</v>
      </c>
      <c r="B22" s="281" t="str">
        <f>'PLIII.Nhân công'!C38</f>
        <v>Tổng hợp bài học, kinh nghiệm về quy hoạch cấp nước</v>
      </c>
      <c r="C22" s="281"/>
      <c r="D22" s="281"/>
      <c r="E22" s="282"/>
      <c r="F22" s="282"/>
      <c r="G22" s="282">
        <f>'PLIII.Nhân công'!G38</f>
        <v>30396000.000000004</v>
      </c>
      <c r="H22" s="282"/>
      <c r="I22" s="216" t="e">
        <f>SUM(#REF!)</f>
        <v>#REF!</v>
      </c>
      <c r="J22" s="283"/>
    </row>
    <row r="23" spans="1:10" s="36" customFormat="1" ht="33" x14ac:dyDescent="0.3">
      <c r="A23" s="280" t="s">
        <v>82</v>
      </c>
      <c r="B23" s="281" t="str">
        <f>'PLIII.Nhân công'!C42</f>
        <v>Tổng hợp bài học, kinh nghiệm về quản lý và vận hành cấp nước</v>
      </c>
      <c r="C23" s="281"/>
      <c r="D23" s="281"/>
      <c r="E23" s="282"/>
      <c r="F23" s="282"/>
      <c r="G23" s="282">
        <f>'PLIII.Nhân công'!G42</f>
        <v>45594000.000000007</v>
      </c>
      <c r="H23" s="282"/>
      <c r="I23" s="216" t="e">
        <f>SUM(#REF!)</f>
        <v>#REF!</v>
      </c>
      <c r="J23" s="283"/>
    </row>
    <row r="24" spans="1:10" s="217" customFormat="1" ht="33" x14ac:dyDescent="0.3">
      <c r="A24" s="214">
        <v>2.5</v>
      </c>
      <c r="B24" s="218" t="str">
        <f>'PLIII.Nhân công'!C46</f>
        <v>Xây dựng các giải pháp quy hoạch và quản lý cấp nước đô thị</v>
      </c>
      <c r="C24" s="218"/>
      <c r="D24" s="218"/>
      <c r="E24" s="219"/>
      <c r="F24" s="219"/>
      <c r="G24" s="219">
        <f>'PLIII.Nhân công'!G46</f>
        <v>130971000</v>
      </c>
      <c r="H24" s="219"/>
      <c r="I24" s="216" t="e">
        <f>SUM(#REF!)</f>
        <v>#REF!</v>
      </c>
    </row>
    <row r="25" spans="1:10" s="36" customFormat="1" ht="59.25" customHeight="1" x14ac:dyDescent="0.3">
      <c r="A25" s="280" t="s">
        <v>144</v>
      </c>
      <c r="B25" s="281" t="str">
        <f>'PLIII.Nhân công'!C47</f>
        <v>Các giải pháp bổ sung cho quy hoạch cấp nước tại các khu vực hạn chế về nguồn nước.</v>
      </c>
      <c r="C25" s="281"/>
      <c r="D25" s="281"/>
      <c r="E25" s="282"/>
      <c r="F25" s="282"/>
      <c r="G25" s="282">
        <f>'PLIII.Nhân công'!G47</f>
        <v>38591000</v>
      </c>
      <c r="H25" s="282"/>
      <c r="I25" s="216" t="e">
        <f>SUM(#REF!)</f>
        <v>#REF!</v>
      </c>
      <c r="J25" s="283"/>
    </row>
    <row r="26" spans="1:10" s="36" customFormat="1" ht="34.5" customHeight="1" x14ac:dyDescent="0.3">
      <c r="A26" s="280" t="s">
        <v>145</v>
      </c>
      <c r="B26" s="281" t="str">
        <f>'PLIII.Nhân công'!C51</f>
        <v>Các giải pháp về phân loại mục đích sử dụng.</v>
      </c>
      <c r="C26" s="281"/>
      <c r="D26" s="281"/>
      <c r="E26" s="282"/>
      <c r="F26" s="282"/>
      <c r="G26" s="282">
        <f>'PLIII.Nhân công'!G51</f>
        <v>20860000</v>
      </c>
      <c r="H26" s="282"/>
      <c r="I26" s="216" t="e">
        <f>SUM(#REF!)</f>
        <v>#REF!</v>
      </c>
      <c r="J26" s="283"/>
    </row>
    <row r="27" spans="1:10" s="36" customFormat="1" ht="39.75" customHeight="1" x14ac:dyDescent="0.3">
      <c r="A27" s="280" t="s">
        <v>146</v>
      </c>
      <c r="B27" s="281" t="str">
        <f>'PLIII.Nhân công'!C54</f>
        <v>Các giải pháp dựa trên dịch vụ sinh thái, tuần hoàn, tái sử dụng</v>
      </c>
      <c r="C27" s="281"/>
      <c r="D27" s="281"/>
      <c r="E27" s="282"/>
      <c r="F27" s="282"/>
      <c r="G27" s="282">
        <f>'PLIII.Nhân công'!G54</f>
        <v>38591000</v>
      </c>
      <c r="H27" s="282"/>
      <c r="I27" s="216" t="e">
        <f>SUM(#REF!)</f>
        <v>#REF!</v>
      </c>
      <c r="J27" s="283"/>
    </row>
    <row r="28" spans="1:10" s="36" customFormat="1" ht="39.75" customHeight="1" x14ac:dyDescent="0.3">
      <c r="A28" s="280" t="s">
        <v>147</v>
      </c>
      <c r="B28" s="281" t="str">
        <f>'PLIII.Nhân công'!C59</f>
        <v>Các giải pháp về quản lý cấp nước</v>
      </c>
      <c r="C28" s="281"/>
      <c r="D28" s="281"/>
      <c r="E28" s="282"/>
      <c r="F28" s="282"/>
      <c r="G28" s="282">
        <f>'PLIII.Nhân công'!G59</f>
        <v>32929000</v>
      </c>
      <c r="H28" s="282"/>
      <c r="I28" s="216"/>
      <c r="J28" s="283"/>
    </row>
    <row r="29" spans="1:10" s="36" customFormat="1" ht="39.75" customHeight="1" x14ac:dyDescent="0.3">
      <c r="A29" s="214">
        <v>2.6</v>
      </c>
      <c r="B29" s="218" t="s">
        <v>141</v>
      </c>
      <c r="C29" s="281"/>
      <c r="D29" s="281"/>
      <c r="E29" s="282"/>
      <c r="F29" s="282"/>
      <c r="G29" s="219">
        <f>'PLIII.Nhân công'!G62</f>
        <v>20264000.000000004</v>
      </c>
      <c r="H29" s="282"/>
      <c r="I29" s="216"/>
      <c r="J29" s="283"/>
    </row>
    <row r="30" spans="1:10" s="217" customFormat="1" ht="22.5" customHeight="1" x14ac:dyDescent="0.3">
      <c r="A30" s="214">
        <v>3</v>
      </c>
      <c r="B30" s="218" t="str">
        <f>'PLIII.Nhân công'!C66</f>
        <v>Xây dựng Báo cáo tổng hợp kết quả nhiệm vụ</v>
      </c>
      <c r="C30" s="218"/>
      <c r="D30" s="218"/>
      <c r="E30" s="219"/>
      <c r="F30" s="219"/>
      <c r="G30" s="219">
        <f>'PLIII.Nhân công'!G66</f>
        <v>31588000</v>
      </c>
      <c r="H30" s="219"/>
      <c r="I30" s="216" t="e">
        <f>SUM(#REF!)</f>
        <v>#REF!</v>
      </c>
    </row>
    <row r="31" spans="1:10" s="232" customFormat="1" ht="33" x14ac:dyDescent="0.3">
      <c r="A31" s="284" t="str">
        <f>+'PL 4a Hội thảo-nghiệm thu'!A3</f>
        <v>C</v>
      </c>
      <c r="B31" s="285" t="str">
        <f>+'PL 4a Hội thảo-nghiệm thu'!B3</f>
        <v>CHI HỘI NGHỊ, HỘI THẢO, NGHIỆM THU VÀ CÁC CHI PHÍ KHÁC</v>
      </c>
      <c r="C31" s="286"/>
      <c r="D31" s="287"/>
      <c r="E31" s="288">
        <f>SUM(E33:E37)</f>
        <v>112500000</v>
      </c>
      <c r="F31" s="288" t="e">
        <f>SUM(F33:F37)</f>
        <v>#REF!</v>
      </c>
      <c r="G31" s="288">
        <f>'PL 4a Hội thảo-nghiệm thu'!C10</f>
        <v>173650000</v>
      </c>
      <c r="H31" s="289"/>
      <c r="I31" s="290">
        <f>SUM(G32:G37)</f>
        <v>173650000</v>
      </c>
      <c r="J31" s="291"/>
    </row>
    <row r="32" spans="1:10" s="232" customFormat="1" x14ac:dyDescent="0.3">
      <c r="A32" s="292">
        <f>'PL 4a Hội thảo-nghiệm thu'!A4</f>
        <v>1</v>
      </c>
      <c r="B32" s="293" t="str">
        <f>'PL 4a Hội thảo-nghiệm thu'!B4</f>
        <v>Hội thảo chuyên đề nhóm chuyên gia (số lượng 2)</v>
      </c>
      <c r="C32" s="293"/>
      <c r="D32" s="293"/>
      <c r="E32" s="293"/>
      <c r="F32" s="293"/>
      <c r="G32" s="294">
        <f>'PL 4a Hội thảo-nghiệm thu'!C4</f>
        <v>16600000</v>
      </c>
      <c r="H32" s="289"/>
      <c r="I32" s="290"/>
      <c r="J32" s="291"/>
    </row>
    <row r="33" spans="1:10" x14ac:dyDescent="0.3">
      <c r="A33" s="292">
        <f>'PL 4a Hội thảo-nghiệm thu'!A5</f>
        <v>2</v>
      </c>
      <c r="B33" s="293" t="str">
        <f>'PL 4a Hội thảo-nghiệm thu'!B5</f>
        <v>Chi Hội đồng chuyên môn, nghiệm thu dự án</v>
      </c>
      <c r="C33" s="214" t="e">
        <f>+'PL 4a Hội thảo-nghiệm thu'!#REF!</f>
        <v>#REF!</v>
      </c>
      <c r="D33" s="214"/>
      <c r="E33" s="219"/>
      <c r="F33" s="295" t="e">
        <f>+'PL 4a Hội thảo-nghiệm thu'!#REF!</f>
        <v>#REF!</v>
      </c>
      <c r="G33" s="219">
        <f>'PL 4a Hội thảo-nghiệm thu'!C5</f>
        <v>18300000</v>
      </c>
      <c r="H33" s="220"/>
      <c r="I33" s="216" t="e">
        <f>SUM(#REF!)</f>
        <v>#REF!</v>
      </c>
      <c r="J33" s="216" t="e">
        <f>SUM(I33:I33)</f>
        <v>#REF!</v>
      </c>
    </row>
    <row r="34" spans="1:10" x14ac:dyDescent="0.3">
      <c r="A34" s="292">
        <f>'PL 4a Hội thảo-nghiệm thu'!A6</f>
        <v>3</v>
      </c>
      <c r="B34" s="293" t="str">
        <f>'PL 4a Hội thảo-nghiệm thu'!B6</f>
        <v>Chi văn phòng phẩm, phô tô, in ấn tài liệu, chi khác…</v>
      </c>
      <c r="C34" s="214"/>
      <c r="D34" s="214"/>
      <c r="E34" s="295">
        <f>+'PL 4a Hội thảo-nghiệm thu'!C6</f>
        <v>70000000</v>
      </c>
      <c r="F34" s="295" t="e">
        <f>+'PL 4a Hội thảo-nghiệm thu'!#REF!</f>
        <v>#REF!</v>
      </c>
      <c r="G34" s="219">
        <f>'PL 4a Hội thảo-nghiệm thu'!C6</f>
        <v>70000000</v>
      </c>
      <c r="H34" s="220"/>
      <c r="I34" s="216" t="e">
        <f>SUM(#REF!)</f>
        <v>#REF!</v>
      </c>
      <c r="J34" s="217"/>
    </row>
    <row r="35" spans="1:10" x14ac:dyDescent="0.3">
      <c r="A35" s="292">
        <f>'PL 4a Hội thảo-nghiệm thu'!A7</f>
        <v>4</v>
      </c>
      <c r="B35" s="293" t="str">
        <f>'PL 4a Hội thảo-nghiệm thu'!B7</f>
        <v>Chi phí điện, nước</v>
      </c>
      <c r="C35" s="214"/>
      <c r="D35" s="214"/>
      <c r="E35" s="295"/>
      <c r="F35" s="295"/>
      <c r="G35" s="219">
        <f>'PL 4a Hội thảo-nghiệm thu'!C7</f>
        <v>15000000</v>
      </c>
      <c r="H35" s="220"/>
      <c r="I35" s="216" t="e">
        <f>SUM(#REF!)</f>
        <v>#REF!</v>
      </c>
      <c r="J35" s="217"/>
    </row>
    <row r="36" spans="1:10" x14ac:dyDescent="0.3">
      <c r="A36" s="292">
        <v>5</v>
      </c>
      <c r="B36" s="293" t="str">
        <f>'PL 4a Hội thảo-nghiệm thu'!B8</f>
        <v>Chi phi dịch tài liệu</v>
      </c>
      <c r="C36" s="214"/>
      <c r="D36" s="214"/>
      <c r="E36" s="295"/>
      <c r="F36" s="295"/>
      <c r="G36" s="219">
        <f>'PL 4a Hội thảo-nghiệm thu'!C8</f>
        <v>11250000</v>
      </c>
      <c r="H36" s="220"/>
      <c r="I36" s="216"/>
      <c r="J36" s="217"/>
    </row>
    <row r="37" spans="1:10" x14ac:dyDescent="0.3">
      <c r="A37" s="292">
        <f>'PL 4a Hội thảo-nghiệm thu'!A9</f>
        <v>6</v>
      </c>
      <c r="B37" s="293" t="str">
        <f>'PL 4a Hội thảo-nghiệm thu'!B9</f>
        <v>Chi quản lý chung (5%)</v>
      </c>
      <c r="C37" s="214"/>
      <c r="D37" s="214"/>
      <c r="E37" s="219">
        <f>+'PL 4a Hội thảo-nghiệm thu'!C9</f>
        <v>42500000</v>
      </c>
      <c r="F37" s="219" t="e">
        <f>+'PL 4a Hội thảo-nghiệm thu'!#REF!</f>
        <v>#REF!</v>
      </c>
      <c r="G37" s="219">
        <f>'PL 4a Hội thảo-nghiệm thu'!C9</f>
        <v>42500000</v>
      </c>
      <c r="H37" s="220"/>
      <c r="I37" s="216" t="e">
        <f>SUM(#REF!)</f>
        <v>#REF!</v>
      </c>
      <c r="J37" s="217"/>
    </row>
    <row r="38" spans="1:10" x14ac:dyDescent="0.3">
      <c r="A38" s="296"/>
      <c r="B38" s="255" t="s">
        <v>16</v>
      </c>
      <c r="C38" s="296"/>
      <c r="D38" s="296"/>
      <c r="E38" s="272" t="e">
        <f>+E6+E12+E31</f>
        <v>#REF!</v>
      </c>
      <c r="F38" s="272" t="e">
        <f>+F6+F12+F31</f>
        <v>#REF!</v>
      </c>
      <c r="G38" s="272" t="e">
        <f>G6+G11+G31</f>
        <v>#REF!</v>
      </c>
      <c r="H38" s="272"/>
      <c r="I38" s="216" t="e">
        <f>SUM(#REF!)</f>
        <v>#REF!</v>
      </c>
      <c r="J38" s="217"/>
    </row>
    <row r="39" spans="1:10" x14ac:dyDescent="0.3">
      <c r="A39" s="999"/>
      <c r="B39" s="999"/>
      <c r="C39" s="999"/>
      <c r="D39" s="999"/>
      <c r="E39" s="999"/>
      <c r="F39" s="999"/>
      <c r="G39" s="217"/>
      <c r="H39" s="216" t="e">
        <f>SUM(#REF!)</f>
        <v>#REF!</v>
      </c>
      <c r="I39" s="217"/>
      <c r="J39" s="217"/>
    </row>
    <row r="40" spans="1:10" x14ac:dyDescent="0.3">
      <c r="A40" s="297"/>
      <c r="B40" s="298"/>
      <c r="C40" s="299"/>
      <c r="D40" s="300"/>
      <c r="E40" s="300"/>
      <c r="F40" s="300"/>
      <c r="G40" s="217"/>
      <c r="H40" s="217"/>
      <c r="I40" s="217"/>
      <c r="J40" s="217"/>
    </row>
    <row r="41" spans="1:10" x14ac:dyDescent="0.3">
      <c r="A41" s="297"/>
      <c r="B41" s="298"/>
      <c r="C41" s="299"/>
      <c r="D41" s="300"/>
      <c r="E41" s="300" t="e">
        <f>600000000-E38</f>
        <v>#REF!</v>
      </c>
      <c r="F41" s="300" t="e">
        <f>300000000-F38</f>
        <v>#REF!</v>
      </c>
      <c r="G41" s="216">
        <v>850000000</v>
      </c>
      <c r="H41" s="217"/>
      <c r="I41" s="217"/>
      <c r="J41" s="217">
        <f>850*5/100</f>
        <v>42.5</v>
      </c>
    </row>
    <row r="42" spans="1:10" x14ac:dyDescent="0.3">
      <c r="A42" s="297"/>
      <c r="B42" s="298"/>
      <c r="C42" s="299"/>
      <c r="D42" s="300"/>
      <c r="E42" s="300" t="e">
        <f>+E34+E41</f>
        <v>#REF!</v>
      </c>
      <c r="F42" s="300" t="e">
        <f>+F34+F41</f>
        <v>#REF!</v>
      </c>
      <c r="G42" s="216" t="e">
        <f>G38-G41</f>
        <v>#REF!</v>
      </c>
      <c r="H42" s="217"/>
      <c r="I42" s="217"/>
      <c r="J42" s="217"/>
    </row>
  </sheetData>
  <mergeCells count="5">
    <mergeCell ref="A39:F39"/>
    <mergeCell ref="A1:H1"/>
    <mergeCell ref="A2:H2"/>
    <mergeCell ref="A3:H3"/>
    <mergeCell ref="G4:H4"/>
  </mergeCells>
  <pageMargins left="0.2" right="0.25" top="0.25" bottom="0.2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P32"/>
  <sheetViews>
    <sheetView topLeftCell="A10" zoomScale="85" zoomScaleNormal="85" workbookViewId="0">
      <selection activeCell="R8" sqref="R8"/>
    </sheetView>
  </sheetViews>
  <sheetFormatPr defaultColWidth="9.140625" defaultRowHeight="15" x14ac:dyDescent="0.25"/>
  <cols>
    <col min="1" max="1" width="5.5703125" style="380" customWidth="1"/>
    <col min="2" max="2" width="27.7109375" style="380" customWidth="1"/>
    <col min="3" max="3" width="12.7109375" style="380" bestFit="1" customWidth="1"/>
    <col min="4" max="4" width="13.5703125" style="380" bestFit="1" customWidth="1"/>
    <col min="5" max="5" width="15.5703125" style="380" bestFit="1" customWidth="1"/>
    <col min="6" max="6" width="12.140625" style="380" bestFit="1" customWidth="1"/>
    <col min="7" max="8" width="12.85546875" style="380" bestFit="1" customWidth="1"/>
    <col min="9" max="9" width="11.42578125" style="380" bestFit="1" customWidth="1"/>
    <col min="10" max="10" width="11" style="380" bestFit="1" customWidth="1"/>
    <col min="11" max="11" width="10.42578125" style="380" bestFit="1" customWidth="1"/>
    <col min="12" max="12" width="5.85546875" style="380" hidden="1" customWidth="1"/>
    <col min="13" max="15" width="7.28515625" style="380" hidden="1" customWidth="1"/>
    <col min="16" max="16" width="9.5703125" style="380" bestFit="1" customWidth="1"/>
    <col min="17" max="16384" width="9.140625" style="380"/>
  </cols>
  <sheetData>
    <row r="1" spans="1:15" ht="15.75" x14ac:dyDescent="0.25">
      <c r="A1" s="520"/>
      <c r="B1" s="521"/>
      <c r="C1" s="521"/>
      <c r="D1" s="521"/>
      <c r="E1" s="521"/>
      <c r="F1" s="521"/>
      <c r="G1" s="521"/>
      <c r="H1" s="521"/>
      <c r="I1" s="521"/>
      <c r="J1" s="521"/>
      <c r="K1" s="521"/>
      <c r="L1" s="522"/>
      <c r="M1" s="522"/>
      <c r="N1" s="522"/>
      <c r="O1" s="522"/>
    </row>
    <row r="2" spans="1:15" ht="16.5" x14ac:dyDescent="0.25">
      <c r="A2" s="1045" t="s">
        <v>401</v>
      </c>
      <c r="B2" s="1045"/>
      <c r="C2" s="1045"/>
      <c r="D2" s="1045"/>
      <c r="E2" s="1045"/>
      <c r="F2" s="1045"/>
      <c r="G2" s="1045"/>
      <c r="H2" s="1045"/>
      <c r="I2" s="1045"/>
      <c r="J2" s="1045"/>
      <c r="K2" s="1045"/>
      <c r="L2" s="1045"/>
      <c r="M2" s="1045"/>
      <c r="N2" s="1045"/>
      <c r="O2" s="1045"/>
    </row>
    <row r="3" spans="1:15" x14ac:dyDescent="0.25">
      <c r="A3" s="1046" t="s">
        <v>472</v>
      </c>
      <c r="B3" s="1046"/>
      <c r="C3" s="1046"/>
      <c r="D3" s="1046"/>
      <c r="E3" s="1046"/>
      <c r="F3" s="1046"/>
      <c r="G3" s="1046"/>
      <c r="H3" s="1046"/>
      <c r="I3" s="1046"/>
      <c r="J3" s="1046"/>
      <c r="K3" s="1046"/>
      <c r="L3" s="1046"/>
      <c r="M3" s="1046"/>
      <c r="N3" s="1046"/>
      <c r="O3" s="1046"/>
    </row>
    <row r="4" spans="1:15" x14ac:dyDescent="0.25">
      <c r="A4" s="1046"/>
      <c r="B4" s="1046"/>
      <c r="C4" s="1046"/>
      <c r="D4" s="1046"/>
      <c r="E4" s="1046"/>
      <c r="F4" s="1046"/>
      <c r="G4" s="1046"/>
      <c r="H4" s="1046"/>
      <c r="I4" s="1046"/>
      <c r="J4" s="1046"/>
      <c r="K4" s="1046"/>
      <c r="L4" s="1046"/>
      <c r="M4" s="1046"/>
      <c r="N4" s="1046"/>
      <c r="O4" s="1046"/>
    </row>
    <row r="5" spans="1:15" x14ac:dyDescent="0.25">
      <c r="A5" s="1047"/>
      <c r="B5" s="1047"/>
      <c r="C5" s="1047"/>
      <c r="D5" s="1047"/>
      <c r="E5" s="1047"/>
      <c r="F5" s="1047"/>
      <c r="G5" s="1047"/>
      <c r="H5" s="1047"/>
      <c r="I5" s="1047"/>
      <c r="J5" s="1047"/>
      <c r="K5" s="1047"/>
      <c r="L5" s="1047"/>
      <c r="M5" s="1047"/>
      <c r="N5" s="1047"/>
      <c r="O5" s="1047"/>
    </row>
    <row r="6" spans="1:15" x14ac:dyDescent="0.25">
      <c r="A6" s="1048" t="s">
        <v>402</v>
      </c>
      <c r="B6" s="1051" t="s">
        <v>403</v>
      </c>
      <c r="C6" s="1051" t="s">
        <v>404</v>
      </c>
      <c r="D6" s="1051" t="s">
        <v>405</v>
      </c>
      <c r="E6" s="1051"/>
      <c r="F6" s="1051"/>
      <c r="G6" s="1051"/>
      <c r="H6" s="1051"/>
      <c r="I6" s="1051"/>
      <c r="J6" s="1051"/>
      <c r="K6" s="1051"/>
      <c r="L6" s="1051"/>
      <c r="M6" s="1051"/>
      <c r="N6" s="1051"/>
      <c r="O6" s="1051"/>
    </row>
    <row r="7" spans="1:15" x14ac:dyDescent="0.25">
      <c r="A7" s="1049"/>
      <c r="B7" s="1051"/>
      <c r="C7" s="1051"/>
      <c r="D7" s="1051" t="s">
        <v>393</v>
      </c>
      <c r="E7" s="1051"/>
      <c r="F7" s="1051"/>
      <c r="G7" s="1051"/>
      <c r="H7" s="1051"/>
      <c r="I7" s="1051"/>
      <c r="J7" s="1051"/>
      <c r="K7" s="1051"/>
      <c r="L7" s="1051" t="s">
        <v>406</v>
      </c>
      <c r="M7" s="1051"/>
      <c r="N7" s="1051"/>
      <c r="O7" s="1051"/>
    </row>
    <row r="8" spans="1:15" ht="51" x14ac:dyDescent="0.25">
      <c r="A8" s="1050"/>
      <c r="B8" s="1051"/>
      <c r="C8" s="1051"/>
      <c r="D8" s="523" t="s">
        <v>387</v>
      </c>
      <c r="E8" s="524" t="s">
        <v>407</v>
      </c>
      <c r="F8" s="525" t="s">
        <v>408</v>
      </c>
      <c r="G8" s="524" t="s">
        <v>407</v>
      </c>
      <c r="H8" s="525" t="s">
        <v>409</v>
      </c>
      <c r="I8" s="524" t="s">
        <v>410</v>
      </c>
      <c r="J8" s="525" t="s">
        <v>411</v>
      </c>
      <c r="K8" s="524" t="s">
        <v>407</v>
      </c>
      <c r="L8" s="523" t="s">
        <v>387</v>
      </c>
      <c r="M8" s="525" t="s">
        <v>408</v>
      </c>
      <c r="N8" s="525" t="s">
        <v>409</v>
      </c>
      <c r="O8" s="525" t="s">
        <v>411</v>
      </c>
    </row>
    <row r="9" spans="1:15" x14ac:dyDescent="0.25">
      <c r="A9" s="524">
        <v>1</v>
      </c>
      <c r="B9" s="524">
        <v>2</v>
      </c>
      <c r="C9" s="524">
        <v>3</v>
      </c>
      <c r="D9" s="526" t="s">
        <v>412</v>
      </c>
      <c r="E9" s="526" t="s">
        <v>413</v>
      </c>
      <c r="F9" s="524">
        <v>6</v>
      </c>
      <c r="G9" s="524">
        <v>7</v>
      </c>
      <c r="H9" s="524">
        <v>8</v>
      </c>
      <c r="I9" s="524">
        <v>9</v>
      </c>
      <c r="J9" s="524">
        <v>10</v>
      </c>
      <c r="K9" s="524">
        <v>11</v>
      </c>
      <c r="L9" s="524">
        <v>12</v>
      </c>
      <c r="M9" s="524">
        <v>13</v>
      </c>
      <c r="N9" s="524">
        <v>14</v>
      </c>
      <c r="O9" s="524">
        <v>15</v>
      </c>
    </row>
    <row r="10" spans="1:15" ht="17.25" customHeight="1" x14ac:dyDescent="0.25">
      <c r="A10" s="595">
        <v>1</v>
      </c>
      <c r="B10" s="527" t="s">
        <v>414</v>
      </c>
      <c r="C10" s="528">
        <f>'PL1. Ndung cong viec'!H231</f>
        <v>988466000</v>
      </c>
      <c r="D10" s="528">
        <f>'PL1. Ndung cong viec'!H231</f>
        <v>988466000</v>
      </c>
      <c r="E10" s="528">
        <f>D10</f>
        <v>988466000</v>
      </c>
      <c r="F10" s="528">
        <f>'PL1. Ndung cong viec'!I231</f>
        <v>389635000</v>
      </c>
      <c r="G10" s="528">
        <f>F10</f>
        <v>389635000</v>
      </c>
      <c r="H10" s="528">
        <f>'PL1. Ndung cong viec'!J231</f>
        <v>598831000</v>
      </c>
      <c r="I10" s="528">
        <f>H10</f>
        <v>598831000</v>
      </c>
      <c r="J10" s="528"/>
      <c r="K10" s="529"/>
      <c r="L10" s="525"/>
      <c r="M10" s="525"/>
      <c r="N10" s="525"/>
      <c r="O10" s="525"/>
    </row>
    <row r="11" spans="1:15" ht="17.25" customHeight="1" x14ac:dyDescent="0.25">
      <c r="A11" s="1043">
        <v>2</v>
      </c>
      <c r="B11" s="527" t="s">
        <v>415</v>
      </c>
      <c r="C11" s="529"/>
      <c r="D11" s="529"/>
      <c r="E11" s="529"/>
      <c r="F11" s="529"/>
      <c r="G11" s="529"/>
      <c r="H11" s="529"/>
      <c r="I11" s="529"/>
      <c r="J11" s="529"/>
      <c r="K11" s="529"/>
      <c r="L11" s="530"/>
      <c r="M11" s="530"/>
      <c r="N11" s="530"/>
      <c r="O11" s="530"/>
    </row>
    <row r="12" spans="1:15" ht="17.25" customHeight="1" x14ac:dyDescent="0.25">
      <c r="A12" s="1043"/>
      <c r="B12" s="530" t="s">
        <v>416</v>
      </c>
      <c r="C12" s="529"/>
      <c r="D12" s="529"/>
      <c r="E12" s="529"/>
      <c r="F12" s="529"/>
      <c r="G12" s="529"/>
      <c r="H12" s="529"/>
      <c r="I12" s="529"/>
      <c r="J12" s="529"/>
      <c r="K12" s="529"/>
      <c r="L12" s="530"/>
      <c r="M12" s="530"/>
      <c r="N12" s="530"/>
      <c r="O12" s="530"/>
    </row>
    <row r="13" spans="1:15" ht="17.25" customHeight="1" x14ac:dyDescent="0.25">
      <c r="A13" s="1043"/>
      <c r="B13" s="530" t="s">
        <v>417</v>
      </c>
      <c r="C13" s="529"/>
      <c r="D13" s="529"/>
      <c r="E13" s="529"/>
      <c r="F13" s="529"/>
      <c r="G13" s="529"/>
      <c r="H13" s="529"/>
      <c r="I13" s="529"/>
      <c r="J13" s="529"/>
      <c r="K13" s="529"/>
      <c r="L13" s="530"/>
      <c r="M13" s="530"/>
      <c r="N13" s="530"/>
      <c r="O13" s="530"/>
    </row>
    <row r="14" spans="1:15" ht="17.25" customHeight="1" x14ac:dyDescent="0.25">
      <c r="A14" s="595">
        <v>3</v>
      </c>
      <c r="B14" s="527" t="s">
        <v>418</v>
      </c>
      <c r="C14" s="529"/>
      <c r="D14" s="529"/>
      <c r="E14" s="529"/>
      <c r="F14" s="529"/>
      <c r="G14" s="529"/>
      <c r="H14" s="529"/>
      <c r="I14" s="529"/>
      <c r="J14" s="529"/>
      <c r="K14" s="529"/>
      <c r="L14" s="525"/>
      <c r="M14" s="525"/>
      <c r="N14" s="525"/>
      <c r="O14" s="525"/>
    </row>
    <row r="15" spans="1:15" ht="17.25" customHeight="1" x14ac:dyDescent="0.25">
      <c r="A15" s="595">
        <v>4</v>
      </c>
      <c r="B15" s="527" t="s">
        <v>391</v>
      </c>
      <c r="C15" s="529"/>
      <c r="D15" s="529"/>
      <c r="E15" s="529"/>
      <c r="F15" s="529"/>
      <c r="G15" s="529"/>
      <c r="H15" s="529"/>
      <c r="I15" s="529"/>
      <c r="J15" s="529"/>
      <c r="K15" s="529"/>
      <c r="L15" s="525"/>
      <c r="M15" s="525"/>
      <c r="N15" s="525"/>
      <c r="O15" s="525"/>
    </row>
    <row r="16" spans="1:15" ht="17.25" customHeight="1" x14ac:dyDescent="0.25">
      <c r="A16" s="595">
        <v>5</v>
      </c>
      <c r="B16" s="527" t="s">
        <v>392</v>
      </c>
      <c r="C16" s="529"/>
      <c r="D16" s="529"/>
      <c r="E16" s="529"/>
      <c r="F16" s="529"/>
      <c r="G16" s="529"/>
      <c r="H16" s="529"/>
      <c r="I16" s="529"/>
      <c r="J16" s="529"/>
      <c r="K16" s="529"/>
      <c r="L16" s="525"/>
      <c r="M16" s="525"/>
      <c r="N16" s="525"/>
      <c r="O16" s="525"/>
    </row>
    <row r="17" spans="1:16" ht="17.25" customHeight="1" x14ac:dyDescent="0.25">
      <c r="A17" s="595">
        <v>6</v>
      </c>
      <c r="B17" s="527" t="s">
        <v>260</v>
      </c>
      <c r="C17" s="528">
        <f>D17</f>
        <v>811534000</v>
      </c>
      <c r="D17" s="594">
        <f>'Du toan chi khac (theo TT26)'!F135</f>
        <v>811534000</v>
      </c>
      <c r="E17" s="528">
        <f>'Du toan chi khac (theo TT26)'!G135</f>
        <v>811534000</v>
      </c>
      <c r="F17" s="528">
        <f>'Du toan chi khac (theo TT26)'!H135</f>
        <v>527878000</v>
      </c>
      <c r="G17" s="769">
        <f>'Du toan chi khac (theo TT26)'!I135</f>
        <v>527878000</v>
      </c>
      <c r="H17" s="528">
        <f>'Du toan chi khac (theo TT26)'!J135</f>
        <v>283656000</v>
      </c>
      <c r="I17" s="528">
        <f>H17</f>
        <v>283656000</v>
      </c>
      <c r="J17" s="529"/>
      <c r="K17" s="531"/>
      <c r="L17" s="525"/>
      <c r="M17" s="525"/>
      <c r="N17" s="525"/>
      <c r="O17" s="525"/>
      <c r="P17" s="532"/>
    </row>
    <row r="18" spans="1:16" ht="17.25" customHeight="1" x14ac:dyDescent="0.25">
      <c r="A18" s="525"/>
      <c r="B18" s="523" t="s">
        <v>26</v>
      </c>
      <c r="C18" s="528">
        <f>SUM(C10:C17)</f>
        <v>1800000000</v>
      </c>
      <c r="D18" s="528">
        <f>SUM(D10:D17)</f>
        <v>1800000000</v>
      </c>
      <c r="E18" s="528">
        <f>E10+E17</f>
        <v>1800000000</v>
      </c>
      <c r="F18" s="528">
        <f>SUM(F10:F17)</f>
        <v>917513000</v>
      </c>
      <c r="G18" s="768">
        <f>G10+G17</f>
        <v>917513000</v>
      </c>
      <c r="H18" s="528">
        <f>SUM(H10:H17)</f>
        <v>882487000</v>
      </c>
      <c r="I18" s="533">
        <f>I10+I17</f>
        <v>882487000</v>
      </c>
      <c r="J18" s="528"/>
      <c r="K18" s="531"/>
      <c r="L18" s="525"/>
      <c r="M18" s="525"/>
      <c r="N18" s="525"/>
      <c r="O18" s="525"/>
    </row>
    <row r="19" spans="1:16" ht="19.5" customHeight="1" x14ac:dyDescent="0.25">
      <c r="A19" s="1044" t="s">
        <v>450</v>
      </c>
      <c r="B19" s="1044"/>
      <c r="C19" s="1044"/>
      <c r="D19" s="1044"/>
      <c r="E19" s="1044"/>
      <c r="F19" s="1044"/>
      <c r="G19" s="1044"/>
      <c r="H19" s="1044"/>
      <c r="I19" s="1044"/>
      <c r="J19" s="1044"/>
      <c r="K19" s="1044"/>
    </row>
    <row r="20" spans="1:16" x14ac:dyDescent="0.25">
      <c r="C20" s="397"/>
      <c r="D20" s="397"/>
      <c r="F20" s="397"/>
      <c r="H20" s="397"/>
      <c r="L20" s="534"/>
      <c r="M20" s="534"/>
      <c r="N20" s="534"/>
      <c r="O20" s="534"/>
    </row>
    <row r="21" spans="1:16" x14ac:dyDescent="0.25">
      <c r="C21" s="397"/>
      <c r="F21" s="397"/>
      <c r="L21" s="534"/>
      <c r="M21" s="534"/>
      <c r="N21" s="534"/>
      <c r="O21" s="534"/>
    </row>
    <row r="22" spans="1:16" x14ac:dyDescent="0.25">
      <c r="C22" s="397"/>
      <c r="D22" s="397"/>
      <c r="F22" s="397"/>
      <c r="L22" s="534"/>
      <c r="M22" s="534"/>
      <c r="N22" s="534"/>
      <c r="O22" s="534"/>
    </row>
    <row r="23" spans="1:16" x14ac:dyDescent="0.25">
      <c r="C23" s="397"/>
      <c r="D23" s="397"/>
      <c r="F23" s="397"/>
      <c r="L23" s="534"/>
      <c r="M23" s="534"/>
      <c r="N23" s="534"/>
      <c r="O23" s="534"/>
    </row>
    <row r="24" spans="1:16" x14ac:dyDescent="0.25">
      <c r="C24" s="397"/>
      <c r="F24" s="397"/>
      <c r="H24" s="397"/>
    </row>
    <row r="25" spans="1:16" x14ac:dyDescent="0.25">
      <c r="D25" s="397"/>
      <c r="F25" s="397"/>
      <c r="G25" s="397"/>
    </row>
    <row r="26" spans="1:16" x14ac:dyDescent="0.25">
      <c r="C26" s="397"/>
      <c r="F26" s="397"/>
    </row>
    <row r="29" spans="1:16" x14ac:dyDescent="0.25">
      <c r="E29" s="397"/>
    </row>
    <row r="30" spans="1:16" x14ac:dyDescent="0.25">
      <c r="D30" s="397"/>
    </row>
    <row r="31" spans="1:16" x14ac:dyDescent="0.25">
      <c r="D31" s="397"/>
      <c r="E31" s="535"/>
    </row>
    <row r="32" spans="1:16" x14ac:dyDescent="0.25">
      <c r="G32" s="397"/>
    </row>
  </sheetData>
  <mergeCells count="10">
    <mergeCell ref="A11:A13"/>
    <mergeCell ref="A19:K19"/>
    <mergeCell ref="A2:O2"/>
    <mergeCell ref="A3:O5"/>
    <mergeCell ref="A6:A8"/>
    <mergeCell ref="B6:B8"/>
    <mergeCell ref="C6:C8"/>
    <mergeCell ref="D6:O6"/>
    <mergeCell ref="D7:K7"/>
    <mergeCell ref="L7:O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N153"/>
  <sheetViews>
    <sheetView topLeftCell="A127" zoomScale="85" zoomScaleNormal="85" workbookViewId="0">
      <selection activeCell="N9" sqref="N9"/>
    </sheetView>
  </sheetViews>
  <sheetFormatPr defaultRowHeight="15" x14ac:dyDescent="0.25"/>
  <cols>
    <col min="1" max="1" width="4.85546875" customWidth="1"/>
    <col min="2" max="2" width="41.7109375" bestFit="1" customWidth="1"/>
    <col min="3" max="3" width="9.5703125" style="304" bestFit="1" customWidth="1"/>
    <col min="4" max="4" width="11.42578125" style="304" bestFit="1" customWidth="1"/>
    <col min="5" max="5" width="12.42578125" style="304" bestFit="1" customWidth="1"/>
    <col min="6" max="6" width="14" bestFit="1" customWidth="1"/>
    <col min="7" max="7" width="14.28515625" customWidth="1"/>
    <col min="8" max="8" width="14.42578125" style="304" customWidth="1"/>
    <col min="9" max="9" width="15.140625" style="304" customWidth="1"/>
    <col min="10" max="10" width="12.5703125" style="304" customWidth="1"/>
    <col min="11" max="11" width="14.42578125" style="304" customWidth="1"/>
    <col min="12" max="12" width="14.7109375" customWidth="1"/>
    <col min="13" max="13" width="13.42578125" customWidth="1"/>
    <col min="15" max="15" width="4.28515625" customWidth="1"/>
    <col min="17" max="17" width="12" bestFit="1" customWidth="1"/>
  </cols>
  <sheetData>
    <row r="1" spans="1:14" s="304" customFormat="1" ht="15.75" x14ac:dyDescent="0.25">
      <c r="A1" s="1052" t="s">
        <v>488</v>
      </c>
      <c r="B1" s="1052"/>
      <c r="C1" s="1052"/>
      <c r="D1" s="1052"/>
      <c r="E1" s="1052"/>
      <c r="F1" s="1052"/>
      <c r="G1" s="1052"/>
      <c r="H1" s="1052"/>
      <c r="I1" s="1052"/>
      <c r="J1" s="1052"/>
      <c r="K1" s="1052"/>
      <c r="L1" s="1052"/>
      <c r="M1" s="1052"/>
    </row>
    <row r="2" spans="1:14" s="304" customFormat="1" x14ac:dyDescent="0.25"/>
    <row r="3" spans="1:14" s="940" customFormat="1" x14ac:dyDescent="0.25">
      <c r="A3" s="1053" t="s">
        <v>53</v>
      </c>
      <c r="B3" s="1053" t="s">
        <v>153</v>
      </c>
      <c r="C3" s="1054" t="s">
        <v>405</v>
      </c>
      <c r="D3" s="1054"/>
      <c r="E3" s="1054"/>
      <c r="F3" s="1054"/>
      <c r="G3" s="1054"/>
      <c r="H3" s="1054"/>
      <c r="I3" s="1054"/>
      <c r="J3" s="1054"/>
      <c r="K3" s="1054"/>
    </row>
    <row r="4" spans="1:14" s="940" customFormat="1" ht="26.25" customHeight="1" x14ac:dyDescent="0.25">
      <c r="A4" s="1053"/>
      <c r="B4" s="1053"/>
      <c r="C4" s="1055" t="s">
        <v>393</v>
      </c>
      <c r="D4" s="1056"/>
      <c r="E4" s="1056"/>
      <c r="F4" s="1056"/>
      <c r="G4" s="1056"/>
      <c r="H4" s="1056"/>
      <c r="I4" s="1056"/>
      <c r="J4" s="1056"/>
      <c r="K4" s="1057"/>
    </row>
    <row r="5" spans="1:14" s="940" customFormat="1" ht="25.5" customHeight="1" x14ac:dyDescent="0.25">
      <c r="A5" s="1053"/>
      <c r="B5" s="1053"/>
      <c r="C5" s="1058" t="s">
        <v>33</v>
      </c>
      <c r="D5" s="1058" t="s">
        <v>32</v>
      </c>
      <c r="E5" s="1058" t="s">
        <v>261</v>
      </c>
      <c r="F5" s="1053" t="s">
        <v>29</v>
      </c>
      <c r="G5" s="1053"/>
      <c r="H5" s="1053" t="s">
        <v>517</v>
      </c>
      <c r="I5" s="1053"/>
      <c r="J5" s="1053" t="s">
        <v>518</v>
      </c>
      <c r="K5" s="1053"/>
    </row>
    <row r="6" spans="1:14" s="940" customFormat="1" ht="51.75" customHeight="1" x14ac:dyDescent="0.25">
      <c r="A6" s="1053"/>
      <c r="B6" s="1053"/>
      <c r="C6" s="1059"/>
      <c r="D6" s="1059"/>
      <c r="E6" s="1059"/>
      <c r="F6" s="933" t="s">
        <v>474</v>
      </c>
      <c r="G6" s="933" t="s">
        <v>407</v>
      </c>
      <c r="H6" s="933" t="s">
        <v>474</v>
      </c>
      <c r="I6" s="933" t="s">
        <v>407</v>
      </c>
      <c r="J6" s="933" t="s">
        <v>474</v>
      </c>
      <c r="K6" s="933" t="s">
        <v>407</v>
      </c>
      <c r="L6" s="941"/>
      <c r="M6" s="941"/>
      <c r="N6" s="941"/>
    </row>
    <row r="7" spans="1:14" s="940" customFormat="1" x14ac:dyDescent="0.25">
      <c r="A7" s="935">
        <v>1</v>
      </c>
      <c r="B7" s="935">
        <v>2</v>
      </c>
      <c r="C7" s="935">
        <v>3</v>
      </c>
      <c r="D7" s="935">
        <v>4</v>
      </c>
      <c r="E7" s="935">
        <v>5</v>
      </c>
      <c r="F7" s="935">
        <v>6</v>
      </c>
      <c r="G7" s="935">
        <v>7</v>
      </c>
      <c r="H7" s="935">
        <v>8</v>
      </c>
      <c r="I7" s="935">
        <v>9</v>
      </c>
      <c r="J7" s="935">
        <v>10</v>
      </c>
      <c r="K7" s="935">
        <v>11</v>
      </c>
    </row>
    <row r="8" spans="1:14" s="940" customFormat="1" ht="45" x14ac:dyDescent="0.25">
      <c r="A8" s="932">
        <v>1</v>
      </c>
      <c r="B8" s="946" t="s">
        <v>475</v>
      </c>
      <c r="C8" s="946"/>
      <c r="D8" s="946"/>
      <c r="E8" s="946"/>
      <c r="F8" s="942">
        <f>F9+F10</f>
        <v>90000000</v>
      </c>
      <c r="G8" s="942">
        <f>F8</f>
        <v>90000000</v>
      </c>
      <c r="H8" s="942">
        <f>G8/2</f>
        <v>45000000</v>
      </c>
      <c r="I8" s="942">
        <f>H8</f>
        <v>45000000</v>
      </c>
      <c r="J8" s="942">
        <f>G8/2</f>
        <v>45000000</v>
      </c>
      <c r="K8" s="942">
        <f>J8</f>
        <v>45000000</v>
      </c>
    </row>
    <row r="9" spans="1:14" s="943" customFormat="1" ht="47.25" x14ac:dyDescent="0.25">
      <c r="A9" s="932" t="s">
        <v>604</v>
      </c>
      <c r="B9" s="509" t="s">
        <v>699</v>
      </c>
      <c r="C9" s="928"/>
      <c r="D9" s="928"/>
      <c r="E9" s="928"/>
      <c r="F9" s="947">
        <v>70000000</v>
      </c>
      <c r="G9" s="947"/>
      <c r="H9" s="947">
        <f>F9/2</f>
        <v>35000000</v>
      </c>
      <c r="I9" s="947"/>
      <c r="J9" s="947">
        <f>F9-H9</f>
        <v>35000000</v>
      </c>
      <c r="K9" s="942"/>
    </row>
    <row r="10" spans="1:14" s="943" customFormat="1" ht="15.75" x14ac:dyDescent="0.25">
      <c r="A10" s="932" t="s">
        <v>604</v>
      </c>
      <c r="B10" s="509" t="s">
        <v>700</v>
      </c>
      <c r="C10" s="928"/>
      <c r="D10" s="928"/>
      <c r="E10" s="928"/>
      <c r="F10" s="947">
        <v>20000000</v>
      </c>
      <c r="G10" s="947"/>
      <c r="H10" s="947">
        <f>F10/2</f>
        <v>10000000</v>
      </c>
      <c r="I10" s="947"/>
      <c r="J10" s="947">
        <f>F10-H10</f>
        <v>10000000</v>
      </c>
      <c r="K10" s="942"/>
    </row>
    <row r="11" spans="1:14" s="940" customFormat="1" ht="30" x14ac:dyDescent="0.25">
      <c r="A11" s="948">
        <v>2</v>
      </c>
      <c r="B11" s="949" t="s">
        <v>476</v>
      </c>
      <c r="C11" s="949"/>
      <c r="D11" s="949"/>
      <c r="E11" s="949"/>
      <c r="F11" s="950"/>
      <c r="G11" s="949"/>
      <c r="H11" s="949"/>
      <c r="I11" s="949"/>
      <c r="J11" s="949"/>
      <c r="K11" s="949"/>
    </row>
    <row r="12" spans="1:14" s="940" customFormat="1" ht="30" x14ac:dyDescent="0.25">
      <c r="A12" s="932">
        <v>3</v>
      </c>
      <c r="B12" s="932" t="s">
        <v>477</v>
      </c>
      <c r="C12" s="932"/>
      <c r="D12" s="932"/>
      <c r="E12" s="932"/>
      <c r="F12" s="942">
        <f>F13+F14+F18</f>
        <v>431110000</v>
      </c>
      <c r="G12" s="942">
        <f>F12</f>
        <v>431110000</v>
      </c>
      <c r="H12" s="942">
        <f>G12</f>
        <v>431110000</v>
      </c>
      <c r="I12" s="942">
        <f>H12</f>
        <v>431110000</v>
      </c>
      <c r="J12" s="942"/>
      <c r="K12" s="942"/>
      <c r="M12" s="944"/>
    </row>
    <row r="13" spans="1:14" s="940" customFormat="1" ht="135" x14ac:dyDescent="0.25">
      <c r="A13" s="931" t="s">
        <v>367</v>
      </c>
      <c r="B13" s="931" t="s">
        <v>448</v>
      </c>
      <c r="C13" s="933"/>
      <c r="D13" s="951">
        <v>1</v>
      </c>
      <c r="E13" s="951">
        <v>30000000</v>
      </c>
      <c r="F13" s="951">
        <f>D13*E13</f>
        <v>30000000</v>
      </c>
      <c r="G13" s="952">
        <f t="shared" ref="G13:G44" si="0">F13</f>
        <v>30000000</v>
      </c>
      <c r="H13" s="952">
        <f t="shared" ref="H13:I32" si="1">G13</f>
        <v>30000000</v>
      </c>
      <c r="I13" s="952">
        <f t="shared" si="1"/>
        <v>30000000</v>
      </c>
      <c r="J13" s="931"/>
      <c r="K13" s="931"/>
    </row>
    <row r="14" spans="1:14" s="940" customFormat="1" ht="180" x14ac:dyDescent="0.25">
      <c r="A14" s="931" t="s">
        <v>368</v>
      </c>
      <c r="B14" s="931" t="s">
        <v>500</v>
      </c>
      <c r="C14" s="935"/>
      <c r="D14" s="953"/>
      <c r="E14" s="947"/>
      <c r="F14" s="951">
        <f>+SUM(F15:F17)</f>
        <v>12500000</v>
      </c>
      <c r="G14" s="952">
        <f t="shared" si="0"/>
        <v>12500000</v>
      </c>
      <c r="H14" s="952">
        <f t="shared" si="1"/>
        <v>12500000</v>
      </c>
      <c r="I14" s="952">
        <f t="shared" si="1"/>
        <v>12500000</v>
      </c>
      <c r="J14" s="931"/>
      <c r="K14" s="931"/>
    </row>
    <row r="15" spans="1:14" s="940" customFormat="1" ht="30" x14ac:dyDescent="0.25">
      <c r="A15" s="935" t="s">
        <v>456</v>
      </c>
      <c r="B15" s="935" t="s">
        <v>519</v>
      </c>
      <c r="C15" s="935"/>
      <c r="D15" s="929">
        <v>5</v>
      </c>
      <c r="E15" s="947">
        <v>1500000</v>
      </c>
      <c r="F15" s="947">
        <f t="shared" ref="F15" si="2">D15*E15</f>
        <v>7500000</v>
      </c>
      <c r="G15" s="930">
        <f t="shared" si="0"/>
        <v>7500000</v>
      </c>
      <c r="H15" s="930">
        <f t="shared" si="1"/>
        <v>7500000</v>
      </c>
      <c r="I15" s="930">
        <f t="shared" si="1"/>
        <v>7500000</v>
      </c>
      <c r="J15" s="935"/>
      <c r="K15" s="935"/>
    </row>
    <row r="16" spans="1:14" s="940" customFormat="1" ht="30" x14ac:dyDescent="0.25">
      <c r="A16" s="935" t="s">
        <v>457</v>
      </c>
      <c r="B16" s="935" t="s">
        <v>705</v>
      </c>
      <c r="C16" s="935" t="s">
        <v>203</v>
      </c>
      <c r="D16" s="929">
        <f>5*4</f>
        <v>20</v>
      </c>
      <c r="E16" s="947">
        <v>200000</v>
      </c>
      <c r="F16" s="947">
        <f>D16*E16</f>
        <v>4000000</v>
      </c>
      <c r="G16" s="930">
        <f t="shared" si="0"/>
        <v>4000000</v>
      </c>
      <c r="H16" s="930">
        <f t="shared" si="1"/>
        <v>4000000</v>
      </c>
      <c r="I16" s="930">
        <f t="shared" si="1"/>
        <v>4000000</v>
      </c>
      <c r="J16" s="935"/>
      <c r="K16" s="935"/>
    </row>
    <row r="17" spans="1:11" s="940" customFormat="1" ht="30" x14ac:dyDescent="0.25">
      <c r="A17" s="935" t="s">
        <v>504</v>
      </c>
      <c r="B17" s="935" t="s">
        <v>362</v>
      </c>
      <c r="C17" s="935" t="s">
        <v>361</v>
      </c>
      <c r="D17" s="929">
        <v>10</v>
      </c>
      <c r="E17" s="947">
        <v>100000</v>
      </c>
      <c r="F17" s="947">
        <f t="shared" ref="F17" si="3">D17*E17</f>
        <v>1000000</v>
      </c>
      <c r="G17" s="930">
        <f t="shared" si="0"/>
        <v>1000000</v>
      </c>
      <c r="H17" s="930">
        <f t="shared" si="1"/>
        <v>1000000</v>
      </c>
      <c r="I17" s="930">
        <f t="shared" si="1"/>
        <v>1000000</v>
      </c>
      <c r="J17" s="935"/>
      <c r="K17" s="935"/>
    </row>
    <row r="18" spans="1:11" s="940" customFormat="1" ht="71.25" x14ac:dyDescent="0.25">
      <c r="A18" s="933" t="s">
        <v>466</v>
      </c>
      <c r="B18" s="933" t="s">
        <v>520</v>
      </c>
      <c r="C18" s="933"/>
      <c r="D18" s="929"/>
      <c r="E18" s="947"/>
      <c r="F18" s="951">
        <f>SUM(F19,F24,F30,F35,F42,F49,F56)</f>
        <v>388610000</v>
      </c>
      <c r="G18" s="952">
        <f t="shared" si="0"/>
        <v>388610000</v>
      </c>
      <c r="H18" s="952">
        <f t="shared" si="1"/>
        <v>388610000</v>
      </c>
      <c r="I18" s="952">
        <f t="shared" si="1"/>
        <v>388610000</v>
      </c>
      <c r="J18" s="935"/>
      <c r="K18" s="935"/>
    </row>
    <row r="19" spans="1:11" s="940" customFormat="1" ht="30" x14ac:dyDescent="0.25">
      <c r="A19" s="932" t="s">
        <v>467</v>
      </c>
      <c r="B19" s="954" t="s">
        <v>657</v>
      </c>
      <c r="C19" s="935"/>
      <c r="D19" s="929"/>
      <c r="E19" s="947"/>
      <c r="F19" s="951">
        <f>SUM(F20:F23)</f>
        <v>43800000</v>
      </c>
      <c r="G19" s="952">
        <f t="shared" si="0"/>
        <v>43800000</v>
      </c>
      <c r="H19" s="952">
        <f t="shared" si="1"/>
        <v>43800000</v>
      </c>
      <c r="I19" s="952">
        <f t="shared" si="1"/>
        <v>43800000</v>
      </c>
      <c r="J19" s="946"/>
      <c r="K19" s="946"/>
    </row>
    <row r="20" spans="1:11" s="940" customFormat="1" ht="30" x14ac:dyDescent="0.25">
      <c r="A20" s="935" t="s">
        <v>363</v>
      </c>
      <c r="B20" s="935" t="s">
        <v>599</v>
      </c>
      <c r="C20" s="935" t="s">
        <v>207</v>
      </c>
      <c r="D20" s="929">
        <v>1150</v>
      </c>
      <c r="E20" s="947">
        <v>12000</v>
      </c>
      <c r="F20" s="947">
        <f t="shared" ref="F20:F22" si="4">D20*E20</f>
        <v>13800000</v>
      </c>
      <c r="G20" s="922">
        <f t="shared" si="0"/>
        <v>13800000</v>
      </c>
      <c r="H20" s="930">
        <f t="shared" si="1"/>
        <v>13800000</v>
      </c>
      <c r="I20" s="930">
        <f t="shared" si="1"/>
        <v>13800000</v>
      </c>
      <c r="J20" s="935"/>
      <c r="K20" s="935"/>
    </row>
    <row r="21" spans="1:11" s="940" customFormat="1" x14ac:dyDescent="0.25">
      <c r="A21" s="935" t="s">
        <v>364</v>
      </c>
      <c r="B21" s="935" t="s">
        <v>571</v>
      </c>
      <c r="C21" s="935" t="s">
        <v>203</v>
      </c>
      <c r="D21" s="929">
        <v>55</v>
      </c>
      <c r="E21" s="947">
        <v>200000</v>
      </c>
      <c r="F21" s="947">
        <f t="shared" si="4"/>
        <v>11000000</v>
      </c>
      <c r="G21" s="922">
        <f t="shared" si="0"/>
        <v>11000000</v>
      </c>
      <c r="H21" s="930">
        <f t="shared" si="1"/>
        <v>11000000</v>
      </c>
      <c r="I21" s="930">
        <f t="shared" si="1"/>
        <v>11000000</v>
      </c>
      <c r="J21" s="935"/>
      <c r="K21" s="935"/>
    </row>
    <row r="22" spans="1:11" s="940" customFormat="1" x14ac:dyDescent="0.25">
      <c r="A22" s="935" t="s">
        <v>365</v>
      </c>
      <c r="B22" s="935" t="s">
        <v>572</v>
      </c>
      <c r="C22" s="935" t="s">
        <v>205</v>
      </c>
      <c r="D22" s="929">
        <v>50</v>
      </c>
      <c r="E22" s="947">
        <v>300000</v>
      </c>
      <c r="F22" s="947">
        <f t="shared" si="4"/>
        <v>15000000</v>
      </c>
      <c r="G22" s="922">
        <f t="shared" si="0"/>
        <v>15000000</v>
      </c>
      <c r="H22" s="930">
        <f t="shared" si="1"/>
        <v>15000000</v>
      </c>
      <c r="I22" s="930">
        <f t="shared" si="1"/>
        <v>15000000</v>
      </c>
      <c r="J22" s="935"/>
      <c r="K22" s="935"/>
    </row>
    <row r="23" spans="1:11" s="940" customFormat="1" x14ac:dyDescent="0.25">
      <c r="A23" s="935" t="s">
        <v>366</v>
      </c>
      <c r="B23" s="935" t="s">
        <v>362</v>
      </c>
      <c r="C23" s="935" t="s">
        <v>361</v>
      </c>
      <c r="D23" s="929">
        <v>40</v>
      </c>
      <c r="E23" s="947">
        <v>100000</v>
      </c>
      <c r="F23" s="947">
        <f>D23*E23</f>
        <v>4000000</v>
      </c>
      <c r="G23" s="922">
        <f t="shared" si="0"/>
        <v>4000000</v>
      </c>
      <c r="H23" s="930">
        <f t="shared" si="1"/>
        <v>4000000</v>
      </c>
      <c r="I23" s="930">
        <f t="shared" si="1"/>
        <v>4000000</v>
      </c>
      <c r="J23" s="935"/>
      <c r="K23" s="935"/>
    </row>
    <row r="24" spans="1:11" s="940" customFormat="1" ht="45" x14ac:dyDescent="0.25">
      <c r="A24" s="932" t="s">
        <v>468</v>
      </c>
      <c r="B24" s="932" t="s">
        <v>602</v>
      </c>
      <c r="C24" s="935"/>
      <c r="D24" s="929"/>
      <c r="E24" s="947"/>
      <c r="F24" s="951">
        <f>SUM(F25:F29)</f>
        <v>42110000</v>
      </c>
      <c r="G24" s="934">
        <f t="shared" si="0"/>
        <v>42110000</v>
      </c>
      <c r="H24" s="952">
        <f t="shared" si="1"/>
        <v>42110000</v>
      </c>
      <c r="I24" s="952">
        <f t="shared" si="1"/>
        <v>42110000</v>
      </c>
      <c r="J24" s="946"/>
      <c r="K24" s="946"/>
    </row>
    <row r="25" spans="1:11" s="940" customFormat="1" ht="30" x14ac:dyDescent="0.25">
      <c r="A25" s="935" t="s">
        <v>363</v>
      </c>
      <c r="B25" s="935" t="s">
        <v>599</v>
      </c>
      <c r="C25" s="935" t="s">
        <v>207</v>
      </c>
      <c r="D25" s="929">
        <v>880</v>
      </c>
      <c r="E25" s="947">
        <v>12000</v>
      </c>
      <c r="F25" s="947">
        <f t="shared" ref="F25" si="5">D25*E25</f>
        <v>10560000</v>
      </c>
      <c r="G25" s="922">
        <f t="shared" si="0"/>
        <v>10560000</v>
      </c>
      <c r="H25" s="930">
        <f t="shared" si="1"/>
        <v>10560000</v>
      </c>
      <c r="I25" s="930">
        <f t="shared" si="1"/>
        <v>10560000</v>
      </c>
      <c r="J25" s="935"/>
      <c r="K25" s="935"/>
    </row>
    <row r="26" spans="1:11" s="940" customFormat="1" x14ac:dyDescent="0.25">
      <c r="A26" s="935" t="s">
        <v>364</v>
      </c>
      <c r="B26" s="935" t="s">
        <v>573</v>
      </c>
      <c r="C26" s="935" t="s">
        <v>203</v>
      </c>
      <c r="D26" s="929">
        <f>11*4</f>
        <v>44</v>
      </c>
      <c r="E26" s="947">
        <v>200000</v>
      </c>
      <c r="F26" s="947">
        <f>D26*E26</f>
        <v>8800000</v>
      </c>
      <c r="G26" s="922">
        <f t="shared" si="0"/>
        <v>8800000</v>
      </c>
      <c r="H26" s="930">
        <f t="shared" si="1"/>
        <v>8800000</v>
      </c>
      <c r="I26" s="930">
        <f t="shared" si="1"/>
        <v>8800000</v>
      </c>
      <c r="J26" s="935"/>
      <c r="K26" s="935"/>
    </row>
    <row r="27" spans="1:11" s="940" customFormat="1" ht="30" x14ac:dyDescent="0.25">
      <c r="A27" s="935" t="s">
        <v>365</v>
      </c>
      <c r="B27" s="935" t="s">
        <v>574</v>
      </c>
      <c r="C27" s="935" t="s">
        <v>205</v>
      </c>
      <c r="D27" s="929">
        <v>25</v>
      </c>
      <c r="E27" s="947">
        <v>450000</v>
      </c>
      <c r="F27" s="947">
        <f t="shared" ref="F27:F29" si="6">D27*E27</f>
        <v>11250000</v>
      </c>
      <c r="G27" s="922">
        <f t="shared" si="0"/>
        <v>11250000</v>
      </c>
      <c r="H27" s="930">
        <f t="shared" si="1"/>
        <v>11250000</v>
      </c>
      <c r="I27" s="930">
        <f t="shared" si="1"/>
        <v>11250000</v>
      </c>
      <c r="J27" s="935"/>
      <c r="K27" s="935"/>
    </row>
    <row r="28" spans="1:11" s="940" customFormat="1" ht="30" x14ac:dyDescent="0.25">
      <c r="A28" s="935" t="s">
        <v>366</v>
      </c>
      <c r="B28" s="935" t="s">
        <v>575</v>
      </c>
      <c r="C28" s="935" t="s">
        <v>205</v>
      </c>
      <c r="D28" s="929">
        <v>25</v>
      </c>
      <c r="E28" s="947">
        <v>300000</v>
      </c>
      <c r="F28" s="947">
        <f>D28*E28</f>
        <v>7500000</v>
      </c>
      <c r="G28" s="922">
        <f t="shared" si="0"/>
        <v>7500000</v>
      </c>
      <c r="H28" s="930">
        <f t="shared" si="1"/>
        <v>7500000</v>
      </c>
      <c r="I28" s="930">
        <f t="shared" si="1"/>
        <v>7500000</v>
      </c>
      <c r="J28" s="935"/>
      <c r="K28" s="935"/>
    </row>
    <row r="29" spans="1:11" s="940" customFormat="1" x14ac:dyDescent="0.25">
      <c r="A29" s="935" t="s">
        <v>381</v>
      </c>
      <c r="B29" s="935" t="s">
        <v>362</v>
      </c>
      <c r="C29" s="935" t="s">
        <v>361</v>
      </c>
      <c r="D29" s="929">
        <v>40</v>
      </c>
      <c r="E29" s="947">
        <v>100000</v>
      </c>
      <c r="F29" s="947">
        <f t="shared" si="6"/>
        <v>4000000</v>
      </c>
      <c r="G29" s="922">
        <f t="shared" si="0"/>
        <v>4000000</v>
      </c>
      <c r="H29" s="930">
        <f t="shared" si="1"/>
        <v>4000000</v>
      </c>
      <c r="I29" s="930">
        <f t="shared" si="1"/>
        <v>4000000</v>
      </c>
      <c r="J29" s="935"/>
      <c r="K29" s="935"/>
    </row>
    <row r="30" spans="1:11" s="940" customFormat="1" ht="30" x14ac:dyDescent="0.25">
      <c r="A30" s="932" t="s">
        <v>469</v>
      </c>
      <c r="B30" s="932" t="s">
        <v>593</v>
      </c>
      <c r="C30" s="935"/>
      <c r="D30" s="929"/>
      <c r="E30" s="947"/>
      <c r="F30" s="951">
        <f>SUM(F31:F34)</f>
        <v>48600000</v>
      </c>
      <c r="G30" s="934">
        <f t="shared" si="0"/>
        <v>48600000</v>
      </c>
      <c r="H30" s="952">
        <f t="shared" si="1"/>
        <v>48600000</v>
      </c>
      <c r="I30" s="952">
        <f t="shared" si="1"/>
        <v>48600000</v>
      </c>
      <c r="J30" s="946"/>
      <c r="K30" s="946"/>
    </row>
    <row r="31" spans="1:11" s="940" customFormat="1" ht="30" x14ac:dyDescent="0.25">
      <c r="A31" s="935" t="s">
        <v>363</v>
      </c>
      <c r="B31" s="935" t="s">
        <v>599</v>
      </c>
      <c r="C31" s="935" t="s">
        <v>207</v>
      </c>
      <c r="D31" s="929">
        <v>1550</v>
      </c>
      <c r="E31" s="947">
        <v>12000</v>
      </c>
      <c r="F31" s="947">
        <f t="shared" ref="F31" si="7">D31*E31</f>
        <v>18600000</v>
      </c>
      <c r="G31" s="922">
        <f t="shared" si="0"/>
        <v>18600000</v>
      </c>
      <c r="H31" s="930">
        <f t="shared" si="1"/>
        <v>18600000</v>
      </c>
      <c r="I31" s="930">
        <f t="shared" si="1"/>
        <v>18600000</v>
      </c>
      <c r="J31" s="935"/>
      <c r="K31" s="935"/>
    </row>
    <row r="32" spans="1:11" s="940" customFormat="1" x14ac:dyDescent="0.25">
      <c r="A32" s="935" t="s">
        <v>364</v>
      </c>
      <c r="B32" s="935" t="s">
        <v>576</v>
      </c>
      <c r="C32" s="935" t="s">
        <v>203</v>
      </c>
      <c r="D32" s="929">
        <v>55</v>
      </c>
      <c r="E32" s="947">
        <v>200000</v>
      </c>
      <c r="F32" s="947">
        <f>D32*E32</f>
        <v>11000000</v>
      </c>
      <c r="G32" s="922">
        <f t="shared" si="0"/>
        <v>11000000</v>
      </c>
      <c r="H32" s="930">
        <f t="shared" si="1"/>
        <v>11000000</v>
      </c>
      <c r="I32" s="930">
        <f t="shared" si="1"/>
        <v>11000000</v>
      </c>
      <c r="J32" s="935"/>
      <c r="K32" s="935"/>
    </row>
    <row r="33" spans="1:11" s="940" customFormat="1" x14ac:dyDescent="0.25">
      <c r="A33" s="935" t="s">
        <v>365</v>
      </c>
      <c r="B33" s="935" t="s">
        <v>572</v>
      </c>
      <c r="C33" s="935" t="s">
        <v>205</v>
      </c>
      <c r="D33" s="929">
        <v>50</v>
      </c>
      <c r="E33" s="947">
        <v>300000</v>
      </c>
      <c r="F33" s="947">
        <f t="shared" ref="F33:F34" si="8">D33*E33</f>
        <v>15000000</v>
      </c>
      <c r="G33" s="922">
        <f t="shared" si="0"/>
        <v>15000000</v>
      </c>
      <c r="H33" s="930">
        <f t="shared" ref="H33:I52" si="9">G33</f>
        <v>15000000</v>
      </c>
      <c r="I33" s="930">
        <f t="shared" si="9"/>
        <v>15000000</v>
      </c>
      <c r="J33" s="935"/>
      <c r="K33" s="935"/>
    </row>
    <row r="34" spans="1:11" s="940" customFormat="1" x14ac:dyDescent="0.25">
      <c r="A34" s="935" t="s">
        <v>366</v>
      </c>
      <c r="B34" s="935" t="s">
        <v>362</v>
      </c>
      <c r="C34" s="935" t="s">
        <v>361</v>
      </c>
      <c r="D34" s="929">
        <v>40</v>
      </c>
      <c r="E34" s="947">
        <v>100000</v>
      </c>
      <c r="F34" s="947">
        <f t="shared" si="8"/>
        <v>4000000</v>
      </c>
      <c r="G34" s="922">
        <f t="shared" si="0"/>
        <v>4000000</v>
      </c>
      <c r="H34" s="930">
        <f t="shared" si="9"/>
        <v>4000000</v>
      </c>
      <c r="I34" s="930">
        <f t="shared" si="9"/>
        <v>4000000</v>
      </c>
      <c r="J34" s="935"/>
      <c r="K34" s="935"/>
    </row>
    <row r="35" spans="1:11" s="940" customFormat="1" ht="30" x14ac:dyDescent="0.25">
      <c r="A35" s="932" t="s">
        <v>505</v>
      </c>
      <c r="B35" s="932" t="s">
        <v>577</v>
      </c>
      <c r="C35" s="935"/>
      <c r="D35" s="929"/>
      <c r="E35" s="956"/>
      <c r="F35" s="951">
        <f>SUM(F36:F41)</f>
        <v>60600000</v>
      </c>
      <c r="G35" s="934">
        <f t="shared" si="0"/>
        <v>60600000</v>
      </c>
      <c r="H35" s="952">
        <f t="shared" si="9"/>
        <v>60600000</v>
      </c>
      <c r="I35" s="952">
        <f t="shared" si="9"/>
        <v>60600000</v>
      </c>
      <c r="J35" s="946"/>
      <c r="K35" s="946"/>
    </row>
    <row r="36" spans="1:11" s="940" customFormat="1" ht="30" x14ac:dyDescent="0.25">
      <c r="A36" s="935" t="s">
        <v>363</v>
      </c>
      <c r="B36" s="931" t="s">
        <v>597</v>
      </c>
      <c r="C36" s="935" t="s">
        <v>37</v>
      </c>
      <c r="D36" s="929">
        <v>5</v>
      </c>
      <c r="E36" s="947">
        <v>2300000</v>
      </c>
      <c r="F36" s="947">
        <f>D36*E36</f>
        <v>11500000</v>
      </c>
      <c r="G36" s="922">
        <f t="shared" si="0"/>
        <v>11500000</v>
      </c>
      <c r="H36" s="930">
        <f t="shared" si="9"/>
        <v>11500000</v>
      </c>
      <c r="I36" s="930">
        <f t="shared" si="9"/>
        <v>11500000</v>
      </c>
      <c r="J36" s="931"/>
      <c r="K36" s="931"/>
    </row>
    <row r="37" spans="1:11" s="940" customFormat="1" ht="30" x14ac:dyDescent="0.25">
      <c r="A37" s="935" t="s">
        <v>364</v>
      </c>
      <c r="B37" s="935" t="s">
        <v>598</v>
      </c>
      <c r="C37" s="935" t="s">
        <v>207</v>
      </c>
      <c r="D37" s="929">
        <v>800</v>
      </c>
      <c r="E37" s="947">
        <v>12000</v>
      </c>
      <c r="F37" s="947">
        <f t="shared" ref="F37" si="10">D37*E37</f>
        <v>9600000</v>
      </c>
      <c r="G37" s="922">
        <f t="shared" si="0"/>
        <v>9600000</v>
      </c>
      <c r="H37" s="930">
        <f t="shared" si="9"/>
        <v>9600000</v>
      </c>
      <c r="I37" s="930">
        <f t="shared" si="9"/>
        <v>9600000</v>
      </c>
      <c r="J37" s="931"/>
      <c r="K37" s="931"/>
    </row>
    <row r="38" spans="1:11" s="940" customFormat="1" x14ac:dyDescent="0.25">
      <c r="A38" s="935" t="s">
        <v>365</v>
      </c>
      <c r="B38" s="935" t="s">
        <v>580</v>
      </c>
      <c r="C38" s="935" t="s">
        <v>203</v>
      </c>
      <c r="D38" s="929">
        <v>65</v>
      </c>
      <c r="E38" s="947">
        <v>200000</v>
      </c>
      <c r="F38" s="947">
        <f>D38*E38</f>
        <v>13000000</v>
      </c>
      <c r="G38" s="922">
        <f t="shared" si="0"/>
        <v>13000000</v>
      </c>
      <c r="H38" s="930">
        <f t="shared" si="9"/>
        <v>13000000</v>
      </c>
      <c r="I38" s="930">
        <f t="shared" si="9"/>
        <v>13000000</v>
      </c>
      <c r="J38" s="931"/>
      <c r="K38" s="931"/>
    </row>
    <row r="39" spans="1:11" s="940" customFormat="1" ht="30" x14ac:dyDescent="0.25">
      <c r="A39" s="935" t="s">
        <v>366</v>
      </c>
      <c r="B39" s="935" t="s">
        <v>578</v>
      </c>
      <c r="C39" s="935" t="s">
        <v>205</v>
      </c>
      <c r="D39" s="929">
        <v>30</v>
      </c>
      <c r="E39" s="947">
        <v>450000</v>
      </c>
      <c r="F39" s="947">
        <f>D39*E39</f>
        <v>13500000</v>
      </c>
      <c r="G39" s="922">
        <f t="shared" si="0"/>
        <v>13500000</v>
      </c>
      <c r="H39" s="930">
        <f t="shared" si="9"/>
        <v>13500000</v>
      </c>
      <c r="I39" s="930">
        <f t="shared" si="9"/>
        <v>13500000</v>
      </c>
      <c r="J39" s="935"/>
      <c r="K39" s="935"/>
    </row>
    <row r="40" spans="1:11" s="940" customFormat="1" ht="30" x14ac:dyDescent="0.25">
      <c r="A40" s="935" t="s">
        <v>381</v>
      </c>
      <c r="B40" s="935" t="s">
        <v>579</v>
      </c>
      <c r="C40" s="935" t="s">
        <v>205</v>
      </c>
      <c r="D40" s="929">
        <v>30</v>
      </c>
      <c r="E40" s="947">
        <v>300000</v>
      </c>
      <c r="F40" s="947">
        <f t="shared" ref="F40:F41" si="11">D40*E40</f>
        <v>9000000</v>
      </c>
      <c r="G40" s="922">
        <f t="shared" si="0"/>
        <v>9000000</v>
      </c>
      <c r="H40" s="930">
        <f t="shared" si="9"/>
        <v>9000000</v>
      </c>
      <c r="I40" s="930">
        <f t="shared" si="9"/>
        <v>9000000</v>
      </c>
      <c r="J40" s="935"/>
      <c r="K40" s="935"/>
    </row>
    <row r="41" spans="1:11" s="940" customFormat="1" x14ac:dyDescent="0.25">
      <c r="A41" s="935" t="s">
        <v>515</v>
      </c>
      <c r="B41" s="935" t="s">
        <v>362</v>
      </c>
      <c r="C41" s="935" t="s">
        <v>361</v>
      </c>
      <c r="D41" s="929">
        <v>40</v>
      </c>
      <c r="E41" s="947">
        <v>100000</v>
      </c>
      <c r="F41" s="947">
        <f t="shared" si="11"/>
        <v>4000000</v>
      </c>
      <c r="G41" s="922">
        <f t="shared" si="0"/>
        <v>4000000</v>
      </c>
      <c r="H41" s="930">
        <f t="shared" si="9"/>
        <v>4000000</v>
      </c>
      <c r="I41" s="930">
        <f t="shared" si="9"/>
        <v>4000000</v>
      </c>
      <c r="J41" s="935"/>
      <c r="K41" s="935"/>
    </row>
    <row r="42" spans="1:11" s="940" customFormat="1" ht="30" x14ac:dyDescent="0.25">
      <c r="A42" s="932" t="s">
        <v>506</v>
      </c>
      <c r="B42" s="932" t="s">
        <v>591</v>
      </c>
      <c r="C42" s="935"/>
      <c r="D42" s="929"/>
      <c r="E42" s="947"/>
      <c r="F42" s="951">
        <f>SUM(F43:F48)</f>
        <v>65700000</v>
      </c>
      <c r="G42" s="934">
        <f t="shared" si="0"/>
        <v>65700000</v>
      </c>
      <c r="H42" s="952">
        <f t="shared" si="9"/>
        <v>65700000</v>
      </c>
      <c r="I42" s="952">
        <f t="shared" si="9"/>
        <v>65700000</v>
      </c>
      <c r="J42" s="935"/>
      <c r="K42" s="935"/>
    </row>
    <row r="43" spans="1:11" s="940" customFormat="1" ht="30" x14ac:dyDescent="0.25">
      <c r="A43" s="935" t="s">
        <v>363</v>
      </c>
      <c r="B43" s="931" t="s">
        <v>595</v>
      </c>
      <c r="C43" s="935" t="s">
        <v>160</v>
      </c>
      <c r="D43" s="929">
        <v>5</v>
      </c>
      <c r="E43" s="947">
        <v>2300000</v>
      </c>
      <c r="F43" s="947">
        <f>D43*E43</f>
        <v>11500000</v>
      </c>
      <c r="G43" s="922">
        <f t="shared" si="0"/>
        <v>11500000</v>
      </c>
      <c r="H43" s="930">
        <f t="shared" si="9"/>
        <v>11500000</v>
      </c>
      <c r="I43" s="930">
        <f t="shared" si="9"/>
        <v>11500000</v>
      </c>
      <c r="J43" s="935"/>
      <c r="K43" s="935"/>
    </row>
    <row r="44" spans="1:11" s="940" customFormat="1" ht="30" x14ac:dyDescent="0.25">
      <c r="A44" s="935" t="s">
        <v>364</v>
      </c>
      <c r="B44" s="935" t="s">
        <v>596</v>
      </c>
      <c r="C44" s="935" t="s">
        <v>207</v>
      </c>
      <c r="D44" s="929">
        <v>1600</v>
      </c>
      <c r="E44" s="947">
        <v>12000</v>
      </c>
      <c r="F44" s="947">
        <f t="shared" ref="F44:F48" si="12">D44*E44</f>
        <v>19200000</v>
      </c>
      <c r="G44" s="922">
        <f t="shared" si="0"/>
        <v>19200000</v>
      </c>
      <c r="H44" s="930">
        <f t="shared" si="9"/>
        <v>19200000</v>
      </c>
      <c r="I44" s="930">
        <f t="shared" si="9"/>
        <v>19200000</v>
      </c>
      <c r="J44" s="946"/>
      <c r="K44" s="946"/>
    </row>
    <row r="45" spans="1:11" s="940" customFormat="1" x14ac:dyDescent="0.25">
      <c r="A45" s="935" t="s">
        <v>365</v>
      </c>
      <c r="B45" s="935" t="s">
        <v>580</v>
      </c>
      <c r="C45" s="935" t="s">
        <v>203</v>
      </c>
      <c r="D45" s="929">
        <v>65</v>
      </c>
      <c r="E45" s="947">
        <v>200000</v>
      </c>
      <c r="F45" s="947">
        <f t="shared" si="12"/>
        <v>13000000</v>
      </c>
      <c r="G45" s="922">
        <f t="shared" ref="G45:G62" si="13">F45</f>
        <v>13000000</v>
      </c>
      <c r="H45" s="930">
        <f t="shared" si="9"/>
        <v>13000000</v>
      </c>
      <c r="I45" s="930">
        <f t="shared" si="9"/>
        <v>13000000</v>
      </c>
      <c r="J45" s="931"/>
      <c r="K45" s="931"/>
    </row>
    <row r="46" spans="1:11" s="940" customFormat="1" ht="30" x14ac:dyDescent="0.25">
      <c r="A46" s="935" t="s">
        <v>366</v>
      </c>
      <c r="B46" s="935" t="s">
        <v>581</v>
      </c>
      <c r="C46" s="935" t="s">
        <v>205</v>
      </c>
      <c r="D46" s="929">
        <v>30</v>
      </c>
      <c r="E46" s="947">
        <v>300000</v>
      </c>
      <c r="F46" s="947">
        <f>D46*E46</f>
        <v>9000000</v>
      </c>
      <c r="G46" s="922">
        <f t="shared" si="13"/>
        <v>9000000</v>
      </c>
      <c r="H46" s="930">
        <f t="shared" si="9"/>
        <v>9000000</v>
      </c>
      <c r="I46" s="930">
        <f t="shared" si="9"/>
        <v>9000000</v>
      </c>
      <c r="J46" s="931"/>
      <c r="K46" s="931"/>
    </row>
    <row r="47" spans="1:11" s="940" customFormat="1" x14ac:dyDescent="0.25">
      <c r="A47" s="935" t="s">
        <v>381</v>
      </c>
      <c r="B47" s="935" t="s">
        <v>582</v>
      </c>
      <c r="C47" s="935" t="s">
        <v>205</v>
      </c>
      <c r="D47" s="929">
        <v>30</v>
      </c>
      <c r="E47" s="947">
        <v>300000</v>
      </c>
      <c r="F47" s="947">
        <f t="shared" si="12"/>
        <v>9000000</v>
      </c>
      <c r="G47" s="922">
        <f t="shared" si="13"/>
        <v>9000000</v>
      </c>
      <c r="H47" s="930">
        <f t="shared" si="9"/>
        <v>9000000</v>
      </c>
      <c r="I47" s="930">
        <f t="shared" si="9"/>
        <v>9000000</v>
      </c>
      <c r="J47" s="935"/>
      <c r="K47" s="935"/>
    </row>
    <row r="48" spans="1:11" s="940" customFormat="1" x14ac:dyDescent="0.25">
      <c r="A48" s="957" t="s">
        <v>515</v>
      </c>
      <c r="B48" s="935" t="s">
        <v>362</v>
      </c>
      <c r="C48" s="935" t="s">
        <v>361</v>
      </c>
      <c r="D48" s="929">
        <v>40</v>
      </c>
      <c r="E48" s="947">
        <v>100000</v>
      </c>
      <c r="F48" s="947">
        <f t="shared" si="12"/>
        <v>4000000</v>
      </c>
      <c r="G48" s="922">
        <f t="shared" si="13"/>
        <v>4000000</v>
      </c>
      <c r="H48" s="930">
        <f t="shared" si="9"/>
        <v>4000000</v>
      </c>
      <c r="I48" s="930">
        <f t="shared" si="9"/>
        <v>4000000</v>
      </c>
      <c r="J48" s="935"/>
      <c r="K48" s="935"/>
    </row>
    <row r="49" spans="1:11" s="940" customFormat="1" ht="30" x14ac:dyDescent="0.25">
      <c r="A49" s="932" t="s">
        <v>658</v>
      </c>
      <c r="B49" s="932" t="s">
        <v>521</v>
      </c>
      <c r="C49" s="935"/>
      <c r="D49" s="929"/>
      <c r="E49" s="947"/>
      <c r="F49" s="951">
        <f>SUM(F50:F55)</f>
        <v>62700000</v>
      </c>
      <c r="G49" s="934">
        <f t="shared" si="13"/>
        <v>62700000</v>
      </c>
      <c r="H49" s="952">
        <f t="shared" si="9"/>
        <v>62700000</v>
      </c>
      <c r="I49" s="952">
        <f t="shared" si="9"/>
        <v>62700000</v>
      </c>
      <c r="J49" s="935"/>
      <c r="K49" s="935"/>
    </row>
    <row r="50" spans="1:11" s="940" customFormat="1" ht="30" x14ac:dyDescent="0.25">
      <c r="A50" s="935" t="s">
        <v>363</v>
      </c>
      <c r="B50" s="931" t="s">
        <v>544</v>
      </c>
      <c r="C50" s="935" t="s">
        <v>160</v>
      </c>
      <c r="D50" s="929">
        <v>5</v>
      </c>
      <c r="E50" s="947">
        <v>3200000</v>
      </c>
      <c r="F50" s="947">
        <f>D50*E50</f>
        <v>16000000</v>
      </c>
      <c r="G50" s="922">
        <f t="shared" si="13"/>
        <v>16000000</v>
      </c>
      <c r="H50" s="930">
        <f t="shared" si="9"/>
        <v>16000000</v>
      </c>
      <c r="I50" s="930">
        <f t="shared" si="9"/>
        <v>16000000</v>
      </c>
      <c r="J50" s="935"/>
      <c r="K50" s="935"/>
    </row>
    <row r="51" spans="1:11" s="940" customFormat="1" ht="30" x14ac:dyDescent="0.25">
      <c r="A51" s="935" t="s">
        <v>364</v>
      </c>
      <c r="B51" s="935" t="s">
        <v>600</v>
      </c>
      <c r="C51" s="935" t="s">
        <v>207</v>
      </c>
      <c r="D51" s="929">
        <v>600</v>
      </c>
      <c r="E51" s="947">
        <v>12000</v>
      </c>
      <c r="F51" s="947">
        <f t="shared" ref="F51" si="14">D51*E51</f>
        <v>7200000</v>
      </c>
      <c r="G51" s="922">
        <f t="shared" si="13"/>
        <v>7200000</v>
      </c>
      <c r="H51" s="930">
        <f t="shared" si="9"/>
        <v>7200000</v>
      </c>
      <c r="I51" s="930">
        <f t="shared" si="9"/>
        <v>7200000</v>
      </c>
      <c r="J51" s="935"/>
      <c r="K51" s="935"/>
    </row>
    <row r="52" spans="1:11" s="940" customFormat="1" x14ac:dyDescent="0.25">
      <c r="A52" s="935" t="s">
        <v>365</v>
      </c>
      <c r="B52" s="935" t="s">
        <v>580</v>
      </c>
      <c r="C52" s="935" t="s">
        <v>203</v>
      </c>
      <c r="D52" s="929">
        <v>65</v>
      </c>
      <c r="E52" s="947">
        <v>200000</v>
      </c>
      <c r="F52" s="947">
        <f>D52*E52</f>
        <v>13000000</v>
      </c>
      <c r="G52" s="922">
        <f t="shared" si="13"/>
        <v>13000000</v>
      </c>
      <c r="H52" s="930">
        <f t="shared" si="9"/>
        <v>13000000</v>
      </c>
      <c r="I52" s="930">
        <f t="shared" si="9"/>
        <v>13000000</v>
      </c>
      <c r="J52" s="946"/>
      <c r="K52" s="946"/>
    </row>
    <row r="53" spans="1:11" s="940" customFormat="1" ht="49.5" customHeight="1" x14ac:dyDescent="0.25">
      <c r="A53" s="935" t="s">
        <v>366</v>
      </c>
      <c r="B53" s="935" t="s">
        <v>583</v>
      </c>
      <c r="C53" s="935" t="s">
        <v>205</v>
      </c>
      <c r="D53" s="929">
        <v>30</v>
      </c>
      <c r="E53" s="947">
        <v>450000</v>
      </c>
      <c r="F53" s="947">
        <f>D53*E53</f>
        <v>13500000</v>
      </c>
      <c r="G53" s="922">
        <f t="shared" si="13"/>
        <v>13500000</v>
      </c>
      <c r="H53" s="930">
        <f t="shared" ref="H53:I62" si="15">G53</f>
        <v>13500000</v>
      </c>
      <c r="I53" s="930">
        <f t="shared" si="15"/>
        <v>13500000</v>
      </c>
      <c r="J53" s="931"/>
      <c r="K53" s="931"/>
    </row>
    <row r="54" spans="1:11" s="940" customFormat="1" ht="30" x14ac:dyDescent="0.25">
      <c r="A54" s="935" t="s">
        <v>381</v>
      </c>
      <c r="B54" s="935" t="s">
        <v>584</v>
      </c>
      <c r="C54" s="935" t="s">
        <v>205</v>
      </c>
      <c r="D54" s="929">
        <v>30</v>
      </c>
      <c r="E54" s="947">
        <v>300000</v>
      </c>
      <c r="F54" s="947">
        <f t="shared" ref="F54:F55" si="16">D54*E54</f>
        <v>9000000</v>
      </c>
      <c r="G54" s="922">
        <f t="shared" si="13"/>
        <v>9000000</v>
      </c>
      <c r="H54" s="930">
        <f t="shared" si="15"/>
        <v>9000000</v>
      </c>
      <c r="I54" s="930">
        <f t="shared" si="15"/>
        <v>9000000</v>
      </c>
      <c r="J54" s="935"/>
      <c r="K54" s="935"/>
    </row>
    <row r="55" spans="1:11" s="940" customFormat="1" x14ac:dyDescent="0.25">
      <c r="A55" s="957" t="s">
        <v>515</v>
      </c>
      <c r="B55" s="935" t="s">
        <v>362</v>
      </c>
      <c r="C55" s="935" t="s">
        <v>361</v>
      </c>
      <c r="D55" s="929">
        <v>40</v>
      </c>
      <c r="E55" s="947">
        <v>100000</v>
      </c>
      <c r="F55" s="947">
        <f t="shared" si="16"/>
        <v>4000000</v>
      </c>
      <c r="G55" s="922">
        <f t="shared" si="13"/>
        <v>4000000</v>
      </c>
      <c r="H55" s="930">
        <f t="shared" si="15"/>
        <v>4000000</v>
      </c>
      <c r="I55" s="930">
        <f t="shared" si="15"/>
        <v>4000000</v>
      </c>
      <c r="J55" s="935"/>
      <c r="K55" s="935"/>
    </row>
    <row r="56" spans="1:11" s="940" customFormat="1" ht="30" x14ac:dyDescent="0.25">
      <c r="A56" s="932" t="s">
        <v>507</v>
      </c>
      <c r="B56" s="932" t="s">
        <v>590</v>
      </c>
      <c r="C56" s="935"/>
      <c r="D56" s="929"/>
      <c r="E56" s="947"/>
      <c r="F56" s="951">
        <f>SUM(F57:F62)</f>
        <v>65100000</v>
      </c>
      <c r="G56" s="934">
        <f t="shared" si="13"/>
        <v>65100000</v>
      </c>
      <c r="H56" s="952">
        <f t="shared" si="15"/>
        <v>65100000</v>
      </c>
      <c r="I56" s="952">
        <f t="shared" si="15"/>
        <v>65100000</v>
      </c>
      <c r="J56" s="935"/>
      <c r="K56" s="935"/>
    </row>
    <row r="57" spans="1:11" s="940" customFormat="1" ht="45" x14ac:dyDescent="0.25">
      <c r="A57" s="935" t="s">
        <v>363</v>
      </c>
      <c r="B57" s="931" t="s">
        <v>594</v>
      </c>
      <c r="C57" s="935" t="s">
        <v>160</v>
      </c>
      <c r="D57" s="929">
        <v>5</v>
      </c>
      <c r="E57" s="947">
        <v>3200000</v>
      </c>
      <c r="F57" s="947">
        <f>D57*E57</f>
        <v>16000000</v>
      </c>
      <c r="G57" s="922">
        <f t="shared" si="13"/>
        <v>16000000</v>
      </c>
      <c r="H57" s="930">
        <f t="shared" si="15"/>
        <v>16000000</v>
      </c>
      <c r="I57" s="930">
        <f t="shared" si="15"/>
        <v>16000000</v>
      </c>
      <c r="J57" s="935"/>
      <c r="K57" s="935"/>
    </row>
    <row r="58" spans="1:11" s="940" customFormat="1" ht="30" x14ac:dyDescent="0.25">
      <c r="A58" s="935" t="s">
        <v>364</v>
      </c>
      <c r="B58" s="935" t="s">
        <v>601</v>
      </c>
      <c r="C58" s="935" t="s">
        <v>207</v>
      </c>
      <c r="D58" s="929">
        <v>800</v>
      </c>
      <c r="E58" s="947">
        <v>12000</v>
      </c>
      <c r="F58" s="947">
        <f t="shared" ref="F58:F62" si="17">D58*E58</f>
        <v>9600000</v>
      </c>
      <c r="G58" s="922">
        <f t="shared" si="13"/>
        <v>9600000</v>
      </c>
      <c r="H58" s="930">
        <f t="shared" si="15"/>
        <v>9600000</v>
      </c>
      <c r="I58" s="930">
        <f t="shared" si="15"/>
        <v>9600000</v>
      </c>
      <c r="J58" s="935"/>
      <c r="K58" s="935"/>
    </row>
    <row r="59" spans="1:11" s="940" customFormat="1" x14ac:dyDescent="0.25">
      <c r="A59" s="935" t="s">
        <v>365</v>
      </c>
      <c r="B59" s="935" t="s">
        <v>580</v>
      </c>
      <c r="C59" s="935" t="s">
        <v>203</v>
      </c>
      <c r="D59" s="929">
        <v>65</v>
      </c>
      <c r="E59" s="947">
        <v>200000</v>
      </c>
      <c r="F59" s="947">
        <f t="shared" si="17"/>
        <v>13000000</v>
      </c>
      <c r="G59" s="922">
        <f t="shared" si="13"/>
        <v>13000000</v>
      </c>
      <c r="H59" s="930">
        <f t="shared" si="15"/>
        <v>13000000</v>
      </c>
      <c r="I59" s="930">
        <f t="shared" si="15"/>
        <v>13000000</v>
      </c>
      <c r="J59" s="946"/>
      <c r="K59" s="946"/>
    </row>
    <row r="60" spans="1:11" s="940" customFormat="1" ht="30" x14ac:dyDescent="0.25">
      <c r="A60" s="935" t="s">
        <v>366</v>
      </c>
      <c r="B60" s="935" t="s">
        <v>585</v>
      </c>
      <c r="C60" s="935" t="s">
        <v>205</v>
      </c>
      <c r="D60" s="929">
        <v>30</v>
      </c>
      <c r="E60" s="947">
        <v>450000</v>
      </c>
      <c r="F60" s="947">
        <f t="shared" si="17"/>
        <v>13500000</v>
      </c>
      <c r="G60" s="922">
        <f t="shared" si="13"/>
        <v>13500000</v>
      </c>
      <c r="H60" s="930">
        <f t="shared" si="15"/>
        <v>13500000</v>
      </c>
      <c r="I60" s="930">
        <f t="shared" si="15"/>
        <v>13500000</v>
      </c>
      <c r="J60" s="931"/>
      <c r="K60" s="931"/>
    </row>
    <row r="61" spans="1:11" s="940" customFormat="1" x14ac:dyDescent="0.25">
      <c r="A61" s="935" t="s">
        <v>381</v>
      </c>
      <c r="B61" s="935" t="s">
        <v>718</v>
      </c>
      <c r="C61" s="935" t="s">
        <v>205</v>
      </c>
      <c r="D61" s="929">
        <v>30</v>
      </c>
      <c r="E61" s="947">
        <v>300000</v>
      </c>
      <c r="F61" s="947">
        <f>D61*E61</f>
        <v>9000000</v>
      </c>
      <c r="G61" s="922">
        <f t="shared" si="13"/>
        <v>9000000</v>
      </c>
      <c r="H61" s="930">
        <f t="shared" si="15"/>
        <v>9000000</v>
      </c>
      <c r="I61" s="930">
        <f t="shared" si="15"/>
        <v>9000000</v>
      </c>
      <c r="J61" s="935"/>
      <c r="K61" s="935"/>
    </row>
    <row r="62" spans="1:11" s="940" customFormat="1" x14ac:dyDescent="0.25">
      <c r="A62" s="957" t="s">
        <v>515</v>
      </c>
      <c r="B62" s="935" t="s">
        <v>362</v>
      </c>
      <c r="C62" s="935" t="s">
        <v>361</v>
      </c>
      <c r="D62" s="929">
        <v>40</v>
      </c>
      <c r="E62" s="947">
        <v>100000</v>
      </c>
      <c r="F62" s="947">
        <f t="shared" si="17"/>
        <v>4000000</v>
      </c>
      <c r="G62" s="922">
        <f t="shared" si="13"/>
        <v>4000000</v>
      </c>
      <c r="H62" s="930">
        <f t="shared" si="15"/>
        <v>4000000</v>
      </c>
      <c r="I62" s="930">
        <f t="shared" si="15"/>
        <v>4000000</v>
      </c>
      <c r="J62" s="935"/>
      <c r="K62" s="935"/>
    </row>
    <row r="63" spans="1:11" s="940" customFormat="1" ht="30" x14ac:dyDescent="0.25">
      <c r="A63" s="932">
        <v>4</v>
      </c>
      <c r="B63" s="932" t="s">
        <v>501</v>
      </c>
      <c r="C63" s="935"/>
      <c r="D63" s="932"/>
      <c r="E63" s="932"/>
      <c r="F63" s="942"/>
      <c r="G63" s="942"/>
      <c r="H63" s="942"/>
      <c r="I63" s="942"/>
      <c r="J63" s="935"/>
      <c r="K63" s="935"/>
    </row>
    <row r="64" spans="1:11" s="940" customFormat="1" ht="30" x14ac:dyDescent="0.25">
      <c r="A64" s="935" t="s">
        <v>374</v>
      </c>
      <c r="B64" s="935" t="s">
        <v>478</v>
      </c>
      <c r="C64" s="935"/>
      <c r="D64" s="935"/>
      <c r="E64" s="935"/>
      <c r="F64" s="922"/>
      <c r="G64" s="922"/>
      <c r="H64" s="922"/>
      <c r="I64" s="922"/>
      <c r="J64" s="935"/>
      <c r="K64" s="935"/>
    </row>
    <row r="65" spans="1:11" s="940" customFormat="1" x14ac:dyDescent="0.25">
      <c r="A65" s="935" t="s">
        <v>377</v>
      </c>
      <c r="B65" s="935" t="s">
        <v>479</v>
      </c>
      <c r="C65" s="935"/>
      <c r="D65" s="935"/>
      <c r="E65" s="935"/>
      <c r="F65" s="922"/>
      <c r="G65" s="922"/>
      <c r="H65" s="922"/>
      <c r="I65" s="922"/>
      <c r="J65" s="935"/>
      <c r="K65" s="935"/>
    </row>
    <row r="66" spans="1:11" s="940" customFormat="1" x14ac:dyDescent="0.25">
      <c r="A66" s="932">
        <v>5</v>
      </c>
      <c r="B66" s="932" t="s">
        <v>480</v>
      </c>
      <c r="C66" s="935"/>
      <c r="D66" s="932"/>
      <c r="E66" s="932"/>
      <c r="F66" s="942">
        <f>F67+F74+F79+F86</f>
        <v>31450000</v>
      </c>
      <c r="G66" s="942">
        <f>G67+G74+G79+G86</f>
        <v>31450000</v>
      </c>
      <c r="H66" s="942">
        <f>H67+H74</f>
        <v>12850000</v>
      </c>
      <c r="I66" s="942">
        <f t="shared" ref="I66:I78" si="18">H66</f>
        <v>12850000</v>
      </c>
      <c r="J66" s="942">
        <f>J79+J86</f>
        <v>18600000</v>
      </c>
      <c r="K66" s="942">
        <f>K79+K86</f>
        <v>18600000</v>
      </c>
    </row>
    <row r="67" spans="1:11" s="940" customFormat="1" ht="28.5" x14ac:dyDescent="0.25">
      <c r="A67" s="932" t="s">
        <v>378</v>
      </c>
      <c r="B67" s="933" t="s">
        <v>551</v>
      </c>
      <c r="C67" s="935"/>
      <c r="D67" s="958"/>
      <c r="E67" s="955"/>
      <c r="F67" s="959">
        <f>SUM(F68:F73)</f>
        <v>10400000</v>
      </c>
      <c r="G67" s="936">
        <f t="shared" ref="G67:G92" si="19">F67</f>
        <v>10400000</v>
      </c>
      <c r="H67" s="936">
        <f t="shared" ref="H67:H78" si="20">G67</f>
        <v>10400000</v>
      </c>
      <c r="I67" s="934">
        <f t="shared" si="18"/>
        <v>10400000</v>
      </c>
      <c r="J67" s="935"/>
      <c r="K67" s="935"/>
    </row>
    <row r="68" spans="1:11" s="940" customFormat="1" x14ac:dyDescent="0.25">
      <c r="A68" s="935"/>
      <c r="B68" s="935" t="s">
        <v>553</v>
      </c>
      <c r="C68" s="935" t="s">
        <v>37</v>
      </c>
      <c r="D68" s="960">
        <v>1</v>
      </c>
      <c r="E68" s="922">
        <v>900000</v>
      </c>
      <c r="F68" s="961">
        <f>E68*D68</f>
        <v>900000</v>
      </c>
      <c r="G68" s="937">
        <f t="shared" si="19"/>
        <v>900000</v>
      </c>
      <c r="H68" s="937">
        <f t="shared" si="20"/>
        <v>900000</v>
      </c>
      <c r="I68" s="922">
        <f t="shared" si="18"/>
        <v>900000</v>
      </c>
      <c r="J68" s="935"/>
      <c r="K68" s="935"/>
    </row>
    <row r="69" spans="1:11" s="940" customFormat="1" x14ac:dyDescent="0.25">
      <c r="A69" s="935"/>
      <c r="B69" s="935" t="s">
        <v>552</v>
      </c>
      <c r="C69" s="935" t="s">
        <v>37</v>
      </c>
      <c r="D69" s="960">
        <v>8</v>
      </c>
      <c r="E69" s="922">
        <v>600000</v>
      </c>
      <c r="F69" s="961">
        <f>E69*D69</f>
        <v>4800000</v>
      </c>
      <c r="G69" s="937">
        <f t="shared" si="19"/>
        <v>4800000</v>
      </c>
      <c r="H69" s="937">
        <f t="shared" si="20"/>
        <v>4800000</v>
      </c>
      <c r="I69" s="922">
        <f t="shared" si="18"/>
        <v>4800000</v>
      </c>
      <c r="J69" s="935"/>
      <c r="K69" s="935"/>
    </row>
    <row r="70" spans="1:11" s="940" customFormat="1" x14ac:dyDescent="0.25">
      <c r="A70" s="935"/>
      <c r="B70" s="935" t="s">
        <v>526</v>
      </c>
      <c r="C70" s="935" t="s">
        <v>37</v>
      </c>
      <c r="D70" s="960">
        <v>1</v>
      </c>
      <c r="E70" s="922">
        <v>200000</v>
      </c>
      <c r="F70" s="961">
        <f t="shared" ref="F70:F73" si="21">E70*D70</f>
        <v>200000</v>
      </c>
      <c r="G70" s="937">
        <f t="shared" si="19"/>
        <v>200000</v>
      </c>
      <c r="H70" s="937">
        <f t="shared" si="20"/>
        <v>200000</v>
      </c>
      <c r="I70" s="922">
        <f t="shared" si="18"/>
        <v>200000</v>
      </c>
      <c r="J70" s="935"/>
      <c r="K70" s="935"/>
    </row>
    <row r="71" spans="1:11" s="940" customFormat="1" x14ac:dyDescent="0.25">
      <c r="A71" s="935"/>
      <c r="B71" s="935" t="s">
        <v>527</v>
      </c>
      <c r="C71" s="935" t="s">
        <v>37</v>
      </c>
      <c r="D71" s="935">
        <v>10</v>
      </c>
      <c r="E71" s="922">
        <v>150000</v>
      </c>
      <c r="F71" s="937">
        <f t="shared" si="21"/>
        <v>1500000</v>
      </c>
      <c r="G71" s="937">
        <f t="shared" si="19"/>
        <v>1500000</v>
      </c>
      <c r="H71" s="937">
        <f t="shared" si="20"/>
        <v>1500000</v>
      </c>
      <c r="I71" s="922">
        <f t="shared" si="18"/>
        <v>1500000</v>
      </c>
      <c r="J71" s="935"/>
      <c r="K71" s="935"/>
    </row>
    <row r="72" spans="1:11" s="940" customFormat="1" ht="30" x14ac:dyDescent="0.25">
      <c r="A72" s="935"/>
      <c r="B72" s="935" t="s">
        <v>554</v>
      </c>
      <c r="C72" s="935" t="s">
        <v>34</v>
      </c>
      <c r="D72" s="962">
        <v>7</v>
      </c>
      <c r="E72" s="922">
        <v>300000</v>
      </c>
      <c r="F72" s="961">
        <f t="shared" si="21"/>
        <v>2100000</v>
      </c>
      <c r="G72" s="937">
        <f t="shared" si="19"/>
        <v>2100000</v>
      </c>
      <c r="H72" s="937">
        <f t="shared" si="20"/>
        <v>2100000</v>
      </c>
      <c r="I72" s="922">
        <f t="shared" si="18"/>
        <v>2100000</v>
      </c>
      <c r="J72" s="935"/>
      <c r="K72" s="935"/>
    </row>
    <row r="73" spans="1:11" s="940" customFormat="1" ht="30" x14ac:dyDescent="0.25">
      <c r="A73" s="935"/>
      <c r="B73" s="935" t="s">
        <v>555</v>
      </c>
      <c r="C73" s="935" t="s">
        <v>34</v>
      </c>
      <c r="D73" s="960">
        <v>2</v>
      </c>
      <c r="E73" s="922">
        <v>450000</v>
      </c>
      <c r="F73" s="961">
        <f t="shared" si="21"/>
        <v>900000</v>
      </c>
      <c r="G73" s="937">
        <f t="shared" si="19"/>
        <v>900000</v>
      </c>
      <c r="H73" s="937">
        <f t="shared" si="20"/>
        <v>900000</v>
      </c>
      <c r="I73" s="922">
        <f t="shared" si="18"/>
        <v>900000</v>
      </c>
      <c r="J73" s="935"/>
      <c r="K73" s="935"/>
    </row>
    <row r="74" spans="1:11" s="940" customFormat="1" ht="28.5" customHeight="1" x14ac:dyDescent="0.25">
      <c r="A74" s="932" t="s">
        <v>379</v>
      </c>
      <c r="B74" s="932" t="s">
        <v>523</v>
      </c>
      <c r="C74" s="935"/>
      <c r="D74" s="958"/>
      <c r="E74" s="955"/>
      <c r="F74" s="959">
        <f>SUM(F75:F78)</f>
        <v>2450000</v>
      </c>
      <c r="G74" s="936">
        <f t="shared" si="19"/>
        <v>2450000</v>
      </c>
      <c r="H74" s="936">
        <f t="shared" si="20"/>
        <v>2450000</v>
      </c>
      <c r="I74" s="934">
        <f t="shared" si="18"/>
        <v>2450000</v>
      </c>
      <c r="J74" s="935"/>
      <c r="K74" s="935"/>
    </row>
    <row r="75" spans="1:11" s="940" customFormat="1" x14ac:dyDescent="0.25">
      <c r="A75" s="932"/>
      <c r="B75" s="935" t="s">
        <v>524</v>
      </c>
      <c r="C75" s="935" t="s">
        <v>37</v>
      </c>
      <c r="D75" s="958">
        <v>1</v>
      </c>
      <c r="E75" s="963">
        <v>450000</v>
      </c>
      <c r="F75" s="961">
        <f>D75*E75</f>
        <v>450000</v>
      </c>
      <c r="G75" s="937">
        <f t="shared" si="19"/>
        <v>450000</v>
      </c>
      <c r="H75" s="937">
        <f t="shared" si="20"/>
        <v>450000</v>
      </c>
      <c r="I75" s="922">
        <f t="shared" si="18"/>
        <v>450000</v>
      </c>
      <c r="J75" s="935"/>
      <c r="K75" s="935"/>
    </row>
    <row r="76" spans="1:11" s="940" customFormat="1" x14ac:dyDescent="0.25">
      <c r="A76" s="932"/>
      <c r="B76" s="935" t="s">
        <v>525</v>
      </c>
      <c r="C76" s="935" t="s">
        <v>37</v>
      </c>
      <c r="D76" s="958">
        <v>3</v>
      </c>
      <c r="E76" s="963">
        <v>350000</v>
      </c>
      <c r="F76" s="961">
        <f>D76*E76</f>
        <v>1050000</v>
      </c>
      <c r="G76" s="937">
        <f t="shared" si="19"/>
        <v>1050000</v>
      </c>
      <c r="H76" s="937">
        <f t="shared" si="20"/>
        <v>1050000</v>
      </c>
      <c r="I76" s="922">
        <f t="shared" si="18"/>
        <v>1050000</v>
      </c>
      <c r="J76" s="935"/>
      <c r="K76" s="935"/>
    </row>
    <row r="77" spans="1:11" s="940" customFormat="1" x14ac:dyDescent="0.25">
      <c r="A77" s="932"/>
      <c r="B77" s="935" t="s">
        <v>526</v>
      </c>
      <c r="C77" s="935" t="s">
        <v>37</v>
      </c>
      <c r="D77" s="958">
        <v>1</v>
      </c>
      <c r="E77" s="963">
        <v>200000</v>
      </c>
      <c r="F77" s="961">
        <f t="shared" ref="F77:F78" si="22">D77*E77</f>
        <v>200000</v>
      </c>
      <c r="G77" s="937">
        <f t="shared" si="19"/>
        <v>200000</v>
      </c>
      <c r="H77" s="937">
        <f t="shared" si="20"/>
        <v>200000</v>
      </c>
      <c r="I77" s="922">
        <f t="shared" si="18"/>
        <v>200000</v>
      </c>
      <c r="J77" s="935"/>
      <c r="K77" s="935"/>
    </row>
    <row r="78" spans="1:11" s="940" customFormat="1" x14ac:dyDescent="0.25">
      <c r="A78" s="932"/>
      <c r="B78" s="935" t="s">
        <v>527</v>
      </c>
      <c r="C78" s="935" t="s">
        <v>37</v>
      </c>
      <c r="D78" s="958">
        <v>5</v>
      </c>
      <c r="E78" s="963">
        <v>150000</v>
      </c>
      <c r="F78" s="964">
        <f t="shared" si="22"/>
        <v>750000</v>
      </c>
      <c r="G78" s="937">
        <f t="shared" si="19"/>
        <v>750000</v>
      </c>
      <c r="H78" s="937">
        <f t="shared" si="20"/>
        <v>750000</v>
      </c>
      <c r="I78" s="922">
        <f t="shared" si="18"/>
        <v>750000</v>
      </c>
      <c r="J78" s="935"/>
      <c r="K78" s="935"/>
    </row>
    <row r="79" spans="1:11" s="940" customFormat="1" ht="25.5" customHeight="1" x14ac:dyDescent="0.25">
      <c r="A79" s="932" t="s">
        <v>528</v>
      </c>
      <c r="B79" s="932" t="s">
        <v>42</v>
      </c>
      <c r="C79" s="935"/>
      <c r="D79" s="965"/>
      <c r="E79" s="942"/>
      <c r="F79" s="959">
        <f>SUM(F80:F85)</f>
        <v>7450000</v>
      </c>
      <c r="G79" s="936">
        <f t="shared" si="19"/>
        <v>7450000</v>
      </c>
      <c r="H79" s="935"/>
      <c r="I79" s="935"/>
      <c r="J79" s="936">
        <f t="shared" ref="J79:J92" si="23">F79</f>
        <v>7450000</v>
      </c>
      <c r="K79" s="936">
        <f t="shared" ref="K79:K92" si="24">G79</f>
        <v>7450000</v>
      </c>
    </row>
    <row r="80" spans="1:11" s="940" customFormat="1" x14ac:dyDescent="0.25">
      <c r="A80" s="935"/>
      <c r="B80" s="935" t="s">
        <v>553</v>
      </c>
      <c r="C80" s="935" t="s">
        <v>37</v>
      </c>
      <c r="D80" s="960">
        <v>1</v>
      </c>
      <c r="E80" s="922">
        <v>600000</v>
      </c>
      <c r="F80" s="961">
        <f t="shared" ref="F80:F85" si="25">E80*D80</f>
        <v>600000</v>
      </c>
      <c r="G80" s="937">
        <f t="shared" si="19"/>
        <v>600000</v>
      </c>
      <c r="H80" s="935"/>
      <c r="I80" s="935"/>
      <c r="J80" s="937">
        <f t="shared" si="23"/>
        <v>600000</v>
      </c>
      <c r="K80" s="937">
        <f t="shared" si="24"/>
        <v>600000</v>
      </c>
    </row>
    <row r="81" spans="1:11" s="940" customFormat="1" x14ac:dyDescent="0.25">
      <c r="A81" s="935"/>
      <c r="B81" s="935" t="s">
        <v>552</v>
      </c>
      <c r="C81" s="935" t="s">
        <v>37</v>
      </c>
      <c r="D81" s="960">
        <v>8</v>
      </c>
      <c r="E81" s="922">
        <v>400000</v>
      </c>
      <c r="F81" s="961">
        <f t="shared" si="25"/>
        <v>3200000</v>
      </c>
      <c r="G81" s="937">
        <f t="shared" si="19"/>
        <v>3200000</v>
      </c>
      <c r="H81" s="935"/>
      <c r="I81" s="935"/>
      <c r="J81" s="937">
        <f t="shared" si="23"/>
        <v>3200000</v>
      </c>
      <c r="K81" s="937">
        <f t="shared" si="24"/>
        <v>3200000</v>
      </c>
    </row>
    <row r="82" spans="1:11" s="940" customFormat="1" x14ac:dyDescent="0.25">
      <c r="A82" s="935"/>
      <c r="B82" s="935" t="s">
        <v>526</v>
      </c>
      <c r="C82" s="935" t="s">
        <v>37</v>
      </c>
      <c r="D82" s="935">
        <v>1</v>
      </c>
      <c r="E82" s="922">
        <v>150000</v>
      </c>
      <c r="F82" s="937">
        <f t="shared" si="25"/>
        <v>150000</v>
      </c>
      <c r="G82" s="937">
        <f t="shared" si="19"/>
        <v>150000</v>
      </c>
      <c r="H82" s="935"/>
      <c r="I82" s="935"/>
      <c r="J82" s="937">
        <f t="shared" si="23"/>
        <v>150000</v>
      </c>
      <c r="K82" s="937">
        <f t="shared" si="24"/>
        <v>150000</v>
      </c>
    </row>
    <row r="83" spans="1:11" s="940" customFormat="1" x14ac:dyDescent="0.25">
      <c r="A83" s="935"/>
      <c r="B83" s="935" t="s">
        <v>527</v>
      </c>
      <c r="C83" s="935" t="s">
        <v>37</v>
      </c>
      <c r="D83" s="962">
        <v>15</v>
      </c>
      <c r="E83" s="922">
        <v>100000</v>
      </c>
      <c r="F83" s="961">
        <f t="shared" si="25"/>
        <v>1500000</v>
      </c>
      <c r="G83" s="937">
        <f t="shared" si="19"/>
        <v>1500000</v>
      </c>
      <c r="H83" s="935"/>
      <c r="I83" s="935"/>
      <c r="J83" s="937">
        <f t="shared" si="23"/>
        <v>1500000</v>
      </c>
      <c r="K83" s="937">
        <f t="shared" si="24"/>
        <v>1500000</v>
      </c>
    </row>
    <row r="84" spans="1:11" s="940" customFormat="1" ht="30" x14ac:dyDescent="0.25">
      <c r="A84" s="935"/>
      <c r="B84" s="935" t="s">
        <v>554</v>
      </c>
      <c r="C84" s="935" t="s">
        <v>34</v>
      </c>
      <c r="D84" s="960">
        <v>7</v>
      </c>
      <c r="E84" s="922">
        <v>200000</v>
      </c>
      <c r="F84" s="961">
        <f t="shared" si="25"/>
        <v>1400000</v>
      </c>
      <c r="G84" s="937">
        <f t="shared" si="19"/>
        <v>1400000</v>
      </c>
      <c r="H84" s="935"/>
      <c r="I84" s="935"/>
      <c r="J84" s="937">
        <f t="shared" si="23"/>
        <v>1400000</v>
      </c>
      <c r="K84" s="937">
        <f t="shared" si="24"/>
        <v>1400000</v>
      </c>
    </row>
    <row r="85" spans="1:11" s="940" customFormat="1" ht="30" x14ac:dyDescent="0.25">
      <c r="A85" s="935"/>
      <c r="B85" s="935" t="s">
        <v>555</v>
      </c>
      <c r="C85" s="935" t="s">
        <v>34</v>
      </c>
      <c r="D85" s="960">
        <v>2</v>
      </c>
      <c r="E85" s="922">
        <v>300000</v>
      </c>
      <c r="F85" s="961">
        <f t="shared" si="25"/>
        <v>600000</v>
      </c>
      <c r="G85" s="937">
        <f t="shared" si="19"/>
        <v>600000</v>
      </c>
      <c r="H85" s="935"/>
      <c r="I85" s="935"/>
      <c r="J85" s="937">
        <f t="shared" si="23"/>
        <v>600000</v>
      </c>
      <c r="K85" s="937">
        <f t="shared" si="24"/>
        <v>600000</v>
      </c>
    </row>
    <row r="86" spans="1:11" s="940" customFormat="1" x14ac:dyDescent="0.25">
      <c r="A86" s="932" t="s">
        <v>654</v>
      </c>
      <c r="B86" s="932" t="s">
        <v>487</v>
      </c>
      <c r="C86" s="935"/>
      <c r="D86" s="965"/>
      <c r="E86" s="942"/>
      <c r="F86" s="959">
        <f>SUM(F87:F92)</f>
        <v>11150000</v>
      </c>
      <c r="G86" s="936">
        <f t="shared" si="19"/>
        <v>11150000</v>
      </c>
      <c r="H86" s="935"/>
      <c r="I86" s="935"/>
      <c r="J86" s="936">
        <f t="shared" si="23"/>
        <v>11150000</v>
      </c>
      <c r="K86" s="936">
        <f t="shared" si="24"/>
        <v>11150000</v>
      </c>
    </row>
    <row r="87" spans="1:11" s="940" customFormat="1" x14ac:dyDescent="0.25">
      <c r="A87" s="935"/>
      <c r="B87" s="935" t="s">
        <v>553</v>
      </c>
      <c r="C87" s="935" t="s">
        <v>37</v>
      </c>
      <c r="D87" s="960">
        <v>1</v>
      </c>
      <c r="E87" s="922">
        <v>900000</v>
      </c>
      <c r="F87" s="961">
        <f t="shared" ref="F87:F92" si="26">E87*D87</f>
        <v>900000</v>
      </c>
      <c r="G87" s="937">
        <f t="shared" si="19"/>
        <v>900000</v>
      </c>
      <c r="H87" s="935"/>
      <c r="I87" s="935"/>
      <c r="J87" s="937">
        <f t="shared" si="23"/>
        <v>900000</v>
      </c>
      <c r="K87" s="937">
        <f t="shared" si="24"/>
        <v>900000</v>
      </c>
    </row>
    <row r="88" spans="1:11" s="940" customFormat="1" x14ac:dyDescent="0.25">
      <c r="A88" s="935"/>
      <c r="B88" s="935" t="s">
        <v>552</v>
      </c>
      <c r="C88" s="935" t="s">
        <v>37</v>
      </c>
      <c r="D88" s="960">
        <v>8</v>
      </c>
      <c r="E88" s="922">
        <v>600000</v>
      </c>
      <c r="F88" s="961">
        <f t="shared" si="26"/>
        <v>4800000</v>
      </c>
      <c r="G88" s="937">
        <f t="shared" si="19"/>
        <v>4800000</v>
      </c>
      <c r="H88" s="935"/>
      <c r="I88" s="935"/>
      <c r="J88" s="937">
        <f t="shared" si="23"/>
        <v>4800000</v>
      </c>
      <c r="K88" s="937">
        <f t="shared" si="24"/>
        <v>4800000</v>
      </c>
    </row>
    <row r="89" spans="1:11" s="940" customFormat="1" x14ac:dyDescent="0.25">
      <c r="A89" s="935"/>
      <c r="B89" s="935" t="s">
        <v>556</v>
      </c>
      <c r="C89" s="935" t="s">
        <v>37</v>
      </c>
      <c r="D89" s="960">
        <v>1</v>
      </c>
      <c r="E89" s="922">
        <v>200000</v>
      </c>
      <c r="F89" s="961">
        <f t="shared" si="26"/>
        <v>200000</v>
      </c>
      <c r="G89" s="937">
        <f t="shared" si="19"/>
        <v>200000</v>
      </c>
      <c r="H89" s="935"/>
      <c r="I89" s="935"/>
      <c r="J89" s="937">
        <f t="shared" si="23"/>
        <v>200000</v>
      </c>
      <c r="K89" s="937">
        <f t="shared" si="24"/>
        <v>200000</v>
      </c>
    </row>
    <row r="90" spans="1:11" s="940" customFormat="1" x14ac:dyDescent="0.25">
      <c r="A90" s="935"/>
      <c r="B90" s="935" t="s">
        <v>527</v>
      </c>
      <c r="C90" s="935" t="s">
        <v>37</v>
      </c>
      <c r="D90" s="935">
        <v>15</v>
      </c>
      <c r="E90" s="922">
        <v>150000</v>
      </c>
      <c r="F90" s="937">
        <f t="shared" si="26"/>
        <v>2250000</v>
      </c>
      <c r="G90" s="937">
        <f t="shared" si="19"/>
        <v>2250000</v>
      </c>
      <c r="H90" s="935"/>
      <c r="I90" s="935"/>
      <c r="J90" s="937">
        <f t="shared" si="23"/>
        <v>2250000</v>
      </c>
      <c r="K90" s="937">
        <f t="shared" si="24"/>
        <v>2250000</v>
      </c>
    </row>
    <row r="91" spans="1:11" s="940" customFormat="1" ht="30" x14ac:dyDescent="0.25">
      <c r="A91" s="935"/>
      <c r="B91" s="935" t="s">
        <v>554</v>
      </c>
      <c r="C91" s="935" t="s">
        <v>34</v>
      </c>
      <c r="D91" s="962">
        <v>7</v>
      </c>
      <c r="E91" s="922">
        <v>300000</v>
      </c>
      <c r="F91" s="961">
        <f t="shared" si="26"/>
        <v>2100000</v>
      </c>
      <c r="G91" s="937">
        <f t="shared" si="19"/>
        <v>2100000</v>
      </c>
      <c r="H91" s="935"/>
      <c r="I91" s="935"/>
      <c r="J91" s="937">
        <f t="shared" si="23"/>
        <v>2100000</v>
      </c>
      <c r="K91" s="937">
        <f t="shared" si="24"/>
        <v>2100000</v>
      </c>
    </row>
    <row r="92" spans="1:11" s="940" customFormat="1" ht="30" x14ac:dyDescent="0.25">
      <c r="A92" s="935"/>
      <c r="B92" s="935" t="s">
        <v>555</v>
      </c>
      <c r="C92" s="935" t="s">
        <v>34</v>
      </c>
      <c r="D92" s="960">
        <v>2</v>
      </c>
      <c r="E92" s="922">
        <v>450000</v>
      </c>
      <c r="F92" s="961">
        <f t="shared" si="26"/>
        <v>900000</v>
      </c>
      <c r="G92" s="937">
        <f t="shared" si="19"/>
        <v>900000</v>
      </c>
      <c r="H92" s="935"/>
      <c r="I92" s="935"/>
      <c r="J92" s="937">
        <f t="shared" si="23"/>
        <v>900000</v>
      </c>
      <c r="K92" s="937">
        <f t="shared" si="24"/>
        <v>900000</v>
      </c>
    </row>
    <row r="93" spans="1:11" s="940" customFormat="1" ht="30" x14ac:dyDescent="0.25">
      <c r="A93" s="932">
        <v>6</v>
      </c>
      <c r="B93" s="932" t="s">
        <v>481</v>
      </c>
      <c r="C93" s="935"/>
      <c r="D93" s="932"/>
      <c r="E93" s="932"/>
      <c r="F93" s="922"/>
      <c r="G93" s="922"/>
      <c r="H93" s="922"/>
      <c r="I93" s="922"/>
      <c r="J93" s="935"/>
      <c r="K93" s="935"/>
    </row>
    <row r="94" spans="1:11" s="940" customFormat="1" ht="20.25" customHeight="1" x14ac:dyDescent="0.25">
      <c r="A94" s="932">
        <v>7</v>
      </c>
      <c r="B94" s="932" t="s">
        <v>260</v>
      </c>
      <c r="C94" s="935"/>
      <c r="D94" s="932"/>
      <c r="E94" s="932"/>
      <c r="F94" s="942">
        <f>F95+F131+F132</f>
        <v>258974000</v>
      </c>
      <c r="G94" s="942">
        <f>G95+G131+G132</f>
        <v>258974000</v>
      </c>
      <c r="H94" s="942">
        <f>H95+H131+H132</f>
        <v>38918000</v>
      </c>
      <c r="I94" s="942">
        <f>I95+I131+I132</f>
        <v>38918000</v>
      </c>
      <c r="J94" s="942">
        <f>J95+J131</f>
        <v>220056000</v>
      </c>
      <c r="K94" s="942">
        <f>J94</f>
        <v>220056000</v>
      </c>
    </row>
    <row r="95" spans="1:11" s="940" customFormat="1" ht="45" x14ac:dyDescent="0.25">
      <c r="A95" s="935" t="s">
        <v>508</v>
      </c>
      <c r="B95" s="935" t="s">
        <v>482</v>
      </c>
      <c r="C95" s="935"/>
      <c r="D95" s="935"/>
      <c r="E95" s="935"/>
      <c r="F95" s="934">
        <f>F96+F104+F117</f>
        <v>205300000</v>
      </c>
      <c r="G95" s="934">
        <f>G96+G104+G117</f>
        <v>205300000</v>
      </c>
      <c r="H95" s="922"/>
      <c r="I95" s="922"/>
      <c r="J95" s="934">
        <f t="shared" ref="J95:J129" si="27">G95</f>
        <v>205300000</v>
      </c>
      <c r="K95" s="934">
        <f>J95</f>
        <v>205300000</v>
      </c>
    </row>
    <row r="96" spans="1:11" s="940" customFormat="1" ht="60" x14ac:dyDescent="0.25">
      <c r="A96" s="935" t="s">
        <v>514</v>
      </c>
      <c r="B96" s="966" t="s">
        <v>659</v>
      </c>
      <c r="C96" s="935"/>
      <c r="D96" s="967"/>
      <c r="E96" s="934"/>
      <c r="F96" s="959">
        <f>SUM(F97:F103)</f>
        <v>48600000</v>
      </c>
      <c r="G96" s="934">
        <f t="shared" ref="G96:G129" si="28">F96</f>
        <v>48600000</v>
      </c>
      <c r="H96" s="968"/>
      <c r="I96" s="968"/>
      <c r="J96" s="934">
        <f t="shared" si="27"/>
        <v>48600000</v>
      </c>
      <c r="K96" s="934">
        <f t="shared" ref="K96:K129" si="29">J96</f>
        <v>48600000</v>
      </c>
    </row>
    <row r="97" spans="1:11" s="940" customFormat="1" x14ac:dyDescent="0.25">
      <c r="A97" s="935"/>
      <c r="B97" s="935" t="s">
        <v>103</v>
      </c>
      <c r="C97" s="935" t="s">
        <v>421</v>
      </c>
      <c r="D97" s="960">
        <v>2</v>
      </c>
      <c r="E97" s="922">
        <v>900000</v>
      </c>
      <c r="F97" s="961">
        <f t="shared" ref="F97:F103" si="30">D97*E97</f>
        <v>1800000</v>
      </c>
      <c r="G97" s="937">
        <f t="shared" si="28"/>
        <v>1800000</v>
      </c>
      <c r="H97" s="968"/>
      <c r="I97" s="968"/>
      <c r="J97" s="922">
        <f t="shared" si="27"/>
        <v>1800000</v>
      </c>
      <c r="K97" s="922">
        <f t="shared" si="29"/>
        <v>1800000</v>
      </c>
    </row>
    <row r="98" spans="1:11" s="940" customFormat="1" x14ac:dyDescent="0.25">
      <c r="A98" s="935"/>
      <c r="B98" s="935" t="s">
        <v>171</v>
      </c>
      <c r="C98" s="935" t="s">
        <v>421</v>
      </c>
      <c r="D98" s="960">
        <v>2</v>
      </c>
      <c r="E98" s="922">
        <v>300000</v>
      </c>
      <c r="F98" s="937">
        <f t="shared" si="30"/>
        <v>600000</v>
      </c>
      <c r="G98" s="961">
        <f t="shared" si="28"/>
        <v>600000</v>
      </c>
      <c r="H98" s="968"/>
      <c r="I98" s="968"/>
      <c r="J98" s="961">
        <f t="shared" si="27"/>
        <v>600000</v>
      </c>
      <c r="K98" s="961">
        <f t="shared" si="29"/>
        <v>600000</v>
      </c>
    </row>
    <row r="99" spans="1:11" s="940" customFormat="1" x14ac:dyDescent="0.25">
      <c r="A99" s="935"/>
      <c r="B99" s="935" t="s">
        <v>557</v>
      </c>
      <c r="C99" s="935" t="s">
        <v>257</v>
      </c>
      <c r="D99" s="962">
        <v>6</v>
      </c>
      <c r="E99" s="922">
        <v>1200000</v>
      </c>
      <c r="F99" s="961">
        <f t="shared" si="30"/>
        <v>7200000</v>
      </c>
      <c r="G99" s="937">
        <f t="shared" si="28"/>
        <v>7200000</v>
      </c>
      <c r="H99" s="968"/>
      <c r="I99" s="968"/>
      <c r="J99" s="937">
        <f t="shared" si="27"/>
        <v>7200000</v>
      </c>
      <c r="K99" s="937">
        <f t="shared" si="29"/>
        <v>7200000</v>
      </c>
    </row>
    <row r="100" spans="1:11" s="940" customFormat="1" x14ac:dyDescent="0.25">
      <c r="A100" s="935"/>
      <c r="B100" s="935" t="s">
        <v>451</v>
      </c>
      <c r="C100" s="935" t="s">
        <v>561</v>
      </c>
      <c r="D100" s="960">
        <v>140</v>
      </c>
      <c r="E100" s="922">
        <v>150000</v>
      </c>
      <c r="F100" s="961">
        <f t="shared" si="30"/>
        <v>21000000</v>
      </c>
      <c r="G100" s="961">
        <f t="shared" si="28"/>
        <v>21000000</v>
      </c>
      <c r="H100" s="968"/>
      <c r="I100" s="968"/>
      <c r="J100" s="961">
        <f t="shared" si="27"/>
        <v>21000000</v>
      </c>
      <c r="K100" s="961">
        <f t="shared" si="29"/>
        <v>21000000</v>
      </c>
    </row>
    <row r="101" spans="1:11" s="940" customFormat="1" x14ac:dyDescent="0.25">
      <c r="A101" s="935"/>
      <c r="B101" s="935" t="s">
        <v>558</v>
      </c>
      <c r="C101" s="935" t="s">
        <v>559</v>
      </c>
      <c r="D101" s="960">
        <v>150</v>
      </c>
      <c r="E101" s="922">
        <v>20000</v>
      </c>
      <c r="F101" s="961">
        <f t="shared" si="30"/>
        <v>3000000</v>
      </c>
      <c r="G101" s="961">
        <f t="shared" si="28"/>
        <v>3000000</v>
      </c>
      <c r="H101" s="968"/>
      <c r="I101" s="968"/>
      <c r="J101" s="961">
        <f t="shared" si="27"/>
        <v>3000000</v>
      </c>
      <c r="K101" s="961">
        <f t="shared" si="29"/>
        <v>3000000</v>
      </c>
    </row>
    <row r="102" spans="1:11" s="940" customFormat="1" x14ac:dyDescent="0.25">
      <c r="A102" s="935"/>
      <c r="B102" s="935" t="s">
        <v>717</v>
      </c>
      <c r="C102" s="935" t="s">
        <v>712</v>
      </c>
      <c r="D102" s="960">
        <v>75</v>
      </c>
      <c r="E102" s="922">
        <v>40000</v>
      </c>
      <c r="F102" s="961">
        <f t="shared" si="30"/>
        <v>3000000</v>
      </c>
      <c r="G102" s="961">
        <f t="shared" si="28"/>
        <v>3000000</v>
      </c>
      <c r="H102" s="968"/>
      <c r="I102" s="968"/>
      <c r="J102" s="961">
        <f t="shared" si="27"/>
        <v>3000000</v>
      </c>
      <c r="K102" s="961">
        <f t="shared" si="29"/>
        <v>3000000</v>
      </c>
    </row>
    <row r="103" spans="1:11" s="940" customFormat="1" x14ac:dyDescent="0.25">
      <c r="A103" s="935"/>
      <c r="B103" s="935" t="s">
        <v>713</v>
      </c>
      <c r="C103" s="935" t="s">
        <v>566</v>
      </c>
      <c r="D103" s="960">
        <v>1</v>
      </c>
      <c r="E103" s="922">
        <v>12000000</v>
      </c>
      <c r="F103" s="961">
        <f t="shared" si="30"/>
        <v>12000000</v>
      </c>
      <c r="G103" s="961">
        <f t="shared" si="28"/>
        <v>12000000</v>
      </c>
      <c r="H103" s="968"/>
      <c r="I103" s="968"/>
      <c r="J103" s="961">
        <f t="shared" si="27"/>
        <v>12000000</v>
      </c>
      <c r="K103" s="961">
        <f t="shared" si="29"/>
        <v>12000000</v>
      </c>
    </row>
    <row r="104" spans="1:11" s="940" customFormat="1" ht="60" x14ac:dyDescent="0.25">
      <c r="A104" s="935" t="s">
        <v>516</v>
      </c>
      <c r="B104" s="970" t="s">
        <v>660</v>
      </c>
      <c r="C104" s="935"/>
      <c r="D104" s="967"/>
      <c r="E104" s="934"/>
      <c r="F104" s="959">
        <f>F105+F113</f>
        <v>84600000</v>
      </c>
      <c r="G104" s="971">
        <f t="shared" si="28"/>
        <v>84600000</v>
      </c>
      <c r="H104" s="968"/>
      <c r="I104" s="968"/>
      <c r="J104" s="971">
        <f t="shared" si="27"/>
        <v>84600000</v>
      </c>
      <c r="K104" s="971">
        <f t="shared" si="29"/>
        <v>84600000</v>
      </c>
    </row>
    <row r="105" spans="1:11" s="940" customFormat="1" x14ac:dyDescent="0.25">
      <c r="A105" s="935" t="s">
        <v>363</v>
      </c>
      <c r="B105" s="972" t="s">
        <v>563</v>
      </c>
      <c r="C105" s="935"/>
      <c r="D105" s="967"/>
      <c r="E105" s="934"/>
      <c r="F105" s="961">
        <f>F106+F107+F108+F109+F110+F111+F112</f>
        <v>65600000</v>
      </c>
      <c r="G105" s="973">
        <f t="shared" si="28"/>
        <v>65600000</v>
      </c>
      <c r="H105" s="968"/>
      <c r="I105" s="968"/>
      <c r="J105" s="973">
        <f t="shared" si="27"/>
        <v>65600000</v>
      </c>
      <c r="K105" s="973">
        <f t="shared" si="29"/>
        <v>65600000</v>
      </c>
    </row>
    <row r="106" spans="1:11" s="940" customFormat="1" x14ac:dyDescent="0.25">
      <c r="A106" s="935"/>
      <c r="B106" s="935" t="s">
        <v>103</v>
      </c>
      <c r="C106" s="935" t="s">
        <v>421</v>
      </c>
      <c r="D106" s="960">
        <v>2</v>
      </c>
      <c r="E106" s="922">
        <v>900000</v>
      </c>
      <c r="F106" s="961">
        <f>D106*E106</f>
        <v>1800000</v>
      </c>
      <c r="G106" s="973">
        <f t="shared" si="28"/>
        <v>1800000</v>
      </c>
      <c r="H106" s="968"/>
      <c r="I106" s="968"/>
      <c r="J106" s="973">
        <f t="shared" si="27"/>
        <v>1800000</v>
      </c>
      <c r="K106" s="973">
        <f t="shared" si="29"/>
        <v>1800000</v>
      </c>
    </row>
    <row r="107" spans="1:11" s="940" customFormat="1" x14ac:dyDescent="0.25">
      <c r="A107" s="935"/>
      <c r="B107" s="935" t="s">
        <v>171</v>
      </c>
      <c r="C107" s="935" t="s">
        <v>421</v>
      </c>
      <c r="D107" s="960">
        <v>2</v>
      </c>
      <c r="E107" s="922">
        <v>300000</v>
      </c>
      <c r="F107" s="937">
        <f t="shared" ref="F107:F116" si="31">D107*E107</f>
        <v>600000</v>
      </c>
      <c r="G107" s="973">
        <f t="shared" si="28"/>
        <v>600000</v>
      </c>
      <c r="H107" s="968"/>
      <c r="I107" s="968"/>
      <c r="J107" s="973">
        <f t="shared" si="27"/>
        <v>600000</v>
      </c>
      <c r="K107" s="973">
        <f t="shared" si="29"/>
        <v>600000</v>
      </c>
    </row>
    <row r="108" spans="1:11" s="940" customFormat="1" x14ac:dyDescent="0.25">
      <c r="A108" s="935"/>
      <c r="B108" s="935" t="s">
        <v>557</v>
      </c>
      <c r="C108" s="935" t="s">
        <v>257</v>
      </c>
      <c r="D108" s="960">
        <v>6</v>
      </c>
      <c r="E108" s="922">
        <v>1200000</v>
      </c>
      <c r="F108" s="961">
        <f t="shared" si="31"/>
        <v>7200000</v>
      </c>
      <c r="G108" s="973">
        <f t="shared" si="28"/>
        <v>7200000</v>
      </c>
      <c r="H108" s="968"/>
      <c r="I108" s="968"/>
      <c r="J108" s="973">
        <f t="shared" si="27"/>
        <v>7200000</v>
      </c>
      <c r="K108" s="973">
        <f t="shared" si="29"/>
        <v>7200000</v>
      </c>
    </row>
    <row r="109" spans="1:11" s="940" customFormat="1" x14ac:dyDescent="0.25">
      <c r="A109" s="935"/>
      <c r="B109" s="935" t="s">
        <v>588</v>
      </c>
      <c r="C109" s="935" t="s">
        <v>561</v>
      </c>
      <c r="D109" s="960">
        <v>140</v>
      </c>
      <c r="E109" s="922">
        <v>150000</v>
      </c>
      <c r="F109" s="961">
        <f t="shared" si="31"/>
        <v>21000000</v>
      </c>
      <c r="G109" s="973">
        <f t="shared" si="28"/>
        <v>21000000</v>
      </c>
      <c r="H109" s="968"/>
      <c r="I109" s="968"/>
      <c r="J109" s="973">
        <f t="shared" si="27"/>
        <v>21000000</v>
      </c>
      <c r="K109" s="973">
        <f t="shared" si="29"/>
        <v>21000000</v>
      </c>
    </row>
    <row r="110" spans="1:11" s="940" customFormat="1" x14ac:dyDescent="0.25">
      <c r="A110" s="935"/>
      <c r="B110" s="935" t="s">
        <v>717</v>
      </c>
      <c r="C110" s="935" t="s">
        <v>712</v>
      </c>
      <c r="D110" s="960">
        <v>75</v>
      </c>
      <c r="E110" s="922">
        <v>40000</v>
      </c>
      <c r="F110" s="961">
        <f t="shared" si="31"/>
        <v>3000000</v>
      </c>
      <c r="G110" s="973">
        <f t="shared" si="28"/>
        <v>3000000</v>
      </c>
      <c r="H110" s="968"/>
      <c r="I110" s="968"/>
      <c r="J110" s="973">
        <f t="shared" si="27"/>
        <v>3000000</v>
      </c>
      <c r="K110" s="973">
        <f t="shared" si="29"/>
        <v>3000000</v>
      </c>
    </row>
    <row r="111" spans="1:11" s="940" customFormat="1" ht="15.75" x14ac:dyDescent="0.25">
      <c r="A111" s="935"/>
      <c r="B111" s="935" t="s">
        <v>713</v>
      </c>
      <c r="C111" s="935" t="s">
        <v>566</v>
      </c>
      <c r="D111" s="960">
        <v>1</v>
      </c>
      <c r="E111" s="978">
        <v>12000000</v>
      </c>
      <c r="F111" s="961">
        <f t="shared" si="31"/>
        <v>12000000</v>
      </c>
      <c r="G111" s="973">
        <f t="shared" si="28"/>
        <v>12000000</v>
      </c>
      <c r="H111" s="968"/>
      <c r="I111" s="968"/>
      <c r="J111" s="973">
        <f t="shared" si="27"/>
        <v>12000000</v>
      </c>
      <c r="K111" s="973">
        <f t="shared" si="29"/>
        <v>12000000</v>
      </c>
    </row>
    <row r="112" spans="1:11" s="940" customFormat="1" ht="30" x14ac:dyDescent="0.25">
      <c r="A112" s="933"/>
      <c r="B112" s="935" t="s">
        <v>560</v>
      </c>
      <c r="C112" s="935" t="s">
        <v>562</v>
      </c>
      <c r="D112" s="960">
        <v>2</v>
      </c>
      <c r="E112" s="922">
        <v>10000000</v>
      </c>
      <c r="F112" s="961">
        <f t="shared" si="31"/>
        <v>20000000</v>
      </c>
      <c r="G112" s="973">
        <f t="shared" si="28"/>
        <v>20000000</v>
      </c>
      <c r="H112" s="968"/>
      <c r="I112" s="968"/>
      <c r="J112" s="973">
        <f t="shared" si="27"/>
        <v>20000000</v>
      </c>
      <c r="K112" s="973">
        <f t="shared" si="29"/>
        <v>20000000</v>
      </c>
    </row>
    <row r="113" spans="1:13" s="940" customFormat="1" x14ac:dyDescent="0.25">
      <c r="A113" s="935" t="s">
        <v>364</v>
      </c>
      <c r="B113" s="938" t="s">
        <v>569</v>
      </c>
      <c r="C113" s="935"/>
      <c r="D113" s="960"/>
      <c r="E113" s="922"/>
      <c r="F113" s="961">
        <f>F114+F115+F116</f>
        <v>19000000</v>
      </c>
      <c r="G113" s="973">
        <f t="shared" si="28"/>
        <v>19000000</v>
      </c>
      <c r="H113" s="968"/>
      <c r="I113" s="968"/>
      <c r="J113" s="973">
        <f t="shared" si="27"/>
        <v>19000000</v>
      </c>
      <c r="K113" s="973">
        <f t="shared" si="29"/>
        <v>19000000</v>
      </c>
    </row>
    <row r="114" spans="1:13" s="940" customFormat="1" ht="30" x14ac:dyDescent="0.25">
      <c r="A114" s="935"/>
      <c r="B114" s="931" t="s">
        <v>564</v>
      </c>
      <c r="C114" s="935" t="s">
        <v>565</v>
      </c>
      <c r="D114" s="960">
        <v>5</v>
      </c>
      <c r="E114" s="922">
        <v>2300000</v>
      </c>
      <c r="F114" s="961">
        <f t="shared" si="31"/>
        <v>11500000</v>
      </c>
      <c r="G114" s="961">
        <f t="shared" si="28"/>
        <v>11500000</v>
      </c>
      <c r="H114" s="968"/>
      <c r="I114" s="968"/>
      <c r="J114" s="961">
        <f t="shared" si="27"/>
        <v>11500000</v>
      </c>
      <c r="K114" s="961">
        <f t="shared" si="29"/>
        <v>11500000</v>
      </c>
    </row>
    <row r="115" spans="1:13" s="940" customFormat="1" x14ac:dyDescent="0.25">
      <c r="A115" s="935"/>
      <c r="B115" s="939" t="s">
        <v>587</v>
      </c>
      <c r="C115" s="935" t="s">
        <v>205</v>
      </c>
      <c r="D115" s="960">
        <v>10</v>
      </c>
      <c r="E115" s="922">
        <v>450000</v>
      </c>
      <c r="F115" s="961">
        <f t="shared" si="31"/>
        <v>4500000</v>
      </c>
      <c r="G115" s="961">
        <f t="shared" si="28"/>
        <v>4500000</v>
      </c>
      <c r="H115" s="968"/>
      <c r="I115" s="968"/>
      <c r="J115" s="961">
        <f t="shared" si="27"/>
        <v>4500000</v>
      </c>
      <c r="K115" s="961">
        <f t="shared" si="29"/>
        <v>4500000</v>
      </c>
    </row>
    <row r="116" spans="1:13" s="940" customFormat="1" x14ac:dyDescent="0.25">
      <c r="A116" s="935"/>
      <c r="B116" s="939" t="s">
        <v>570</v>
      </c>
      <c r="C116" s="935" t="s">
        <v>566</v>
      </c>
      <c r="D116" s="960">
        <v>15</v>
      </c>
      <c r="E116" s="922">
        <v>200000</v>
      </c>
      <c r="F116" s="961">
        <f t="shared" si="31"/>
        <v>3000000</v>
      </c>
      <c r="G116" s="961">
        <f t="shared" si="28"/>
        <v>3000000</v>
      </c>
      <c r="H116" s="968"/>
      <c r="I116" s="968"/>
      <c r="J116" s="961">
        <f t="shared" si="27"/>
        <v>3000000</v>
      </c>
      <c r="K116" s="961">
        <f t="shared" si="29"/>
        <v>3000000</v>
      </c>
    </row>
    <row r="117" spans="1:13" s="940" customFormat="1" ht="60" x14ac:dyDescent="0.25">
      <c r="A117" s="935" t="s">
        <v>522</v>
      </c>
      <c r="B117" s="966" t="s">
        <v>661</v>
      </c>
      <c r="C117" s="935"/>
      <c r="D117" s="960"/>
      <c r="E117" s="934"/>
      <c r="F117" s="959">
        <f>F118+F126</f>
        <v>72100000</v>
      </c>
      <c r="G117" s="971">
        <f t="shared" si="28"/>
        <v>72100000</v>
      </c>
      <c r="H117" s="968"/>
      <c r="I117" s="968"/>
      <c r="J117" s="971">
        <f t="shared" si="27"/>
        <v>72100000</v>
      </c>
      <c r="K117" s="971">
        <f t="shared" si="29"/>
        <v>72100000</v>
      </c>
    </row>
    <row r="118" spans="1:13" s="940" customFormat="1" x14ac:dyDescent="0.25">
      <c r="A118" s="935" t="s">
        <v>363</v>
      </c>
      <c r="B118" s="972" t="s">
        <v>563</v>
      </c>
      <c r="C118" s="935"/>
      <c r="D118" s="960"/>
      <c r="E118" s="934"/>
      <c r="F118" s="961">
        <f>F119+F120+F121+F122+F123+F124+F125</f>
        <v>48600000</v>
      </c>
      <c r="G118" s="973">
        <f t="shared" si="28"/>
        <v>48600000</v>
      </c>
      <c r="H118" s="968"/>
      <c r="I118" s="968"/>
      <c r="J118" s="973">
        <f t="shared" si="27"/>
        <v>48600000</v>
      </c>
      <c r="K118" s="973">
        <f t="shared" si="29"/>
        <v>48600000</v>
      </c>
    </row>
    <row r="119" spans="1:13" s="940" customFormat="1" x14ac:dyDescent="0.25">
      <c r="A119" s="935"/>
      <c r="B119" s="935" t="s">
        <v>103</v>
      </c>
      <c r="C119" s="935" t="s">
        <v>421</v>
      </c>
      <c r="D119" s="960">
        <v>2</v>
      </c>
      <c r="E119" s="922">
        <v>900000</v>
      </c>
      <c r="F119" s="961">
        <f t="shared" ref="F119:F125" si="32">D119*E119</f>
        <v>1800000</v>
      </c>
      <c r="G119" s="973">
        <f t="shared" si="28"/>
        <v>1800000</v>
      </c>
      <c r="H119" s="968"/>
      <c r="I119" s="968"/>
      <c r="J119" s="973">
        <f t="shared" si="27"/>
        <v>1800000</v>
      </c>
      <c r="K119" s="973">
        <f t="shared" si="29"/>
        <v>1800000</v>
      </c>
    </row>
    <row r="120" spans="1:13" s="940" customFormat="1" x14ac:dyDescent="0.25">
      <c r="A120" s="935"/>
      <c r="B120" s="935" t="s">
        <v>171</v>
      </c>
      <c r="C120" s="935" t="s">
        <v>421</v>
      </c>
      <c r="D120" s="960">
        <v>2</v>
      </c>
      <c r="E120" s="922">
        <v>300000</v>
      </c>
      <c r="F120" s="937">
        <f t="shared" si="32"/>
        <v>600000</v>
      </c>
      <c r="G120" s="973">
        <f t="shared" si="28"/>
        <v>600000</v>
      </c>
      <c r="H120" s="968"/>
      <c r="I120" s="968"/>
      <c r="J120" s="973">
        <f t="shared" si="27"/>
        <v>600000</v>
      </c>
      <c r="K120" s="973">
        <f t="shared" si="29"/>
        <v>600000</v>
      </c>
    </row>
    <row r="121" spans="1:13" s="940" customFormat="1" x14ac:dyDescent="0.25">
      <c r="A121" s="935"/>
      <c r="B121" s="935" t="s">
        <v>557</v>
      </c>
      <c r="C121" s="935" t="s">
        <v>257</v>
      </c>
      <c r="D121" s="960">
        <v>6</v>
      </c>
      <c r="E121" s="922">
        <v>1200000</v>
      </c>
      <c r="F121" s="961">
        <f t="shared" si="32"/>
        <v>7200000</v>
      </c>
      <c r="G121" s="973">
        <f t="shared" si="28"/>
        <v>7200000</v>
      </c>
      <c r="H121" s="968"/>
      <c r="I121" s="968"/>
      <c r="J121" s="973">
        <f t="shared" si="27"/>
        <v>7200000</v>
      </c>
      <c r="K121" s="973">
        <f t="shared" si="29"/>
        <v>7200000</v>
      </c>
    </row>
    <row r="122" spans="1:13" s="940" customFormat="1" x14ac:dyDescent="0.25">
      <c r="A122" s="935"/>
      <c r="B122" s="935" t="s">
        <v>527</v>
      </c>
      <c r="C122" s="935" t="s">
        <v>561</v>
      </c>
      <c r="D122" s="960">
        <v>140</v>
      </c>
      <c r="E122" s="922">
        <v>150000</v>
      </c>
      <c r="F122" s="961">
        <f t="shared" si="32"/>
        <v>21000000</v>
      </c>
      <c r="G122" s="973">
        <f t="shared" si="28"/>
        <v>21000000</v>
      </c>
      <c r="H122" s="968"/>
      <c r="I122" s="968"/>
      <c r="J122" s="973">
        <f t="shared" si="27"/>
        <v>21000000</v>
      </c>
      <c r="K122" s="973">
        <f t="shared" si="29"/>
        <v>21000000</v>
      </c>
    </row>
    <row r="123" spans="1:13" s="940" customFormat="1" x14ac:dyDescent="0.25">
      <c r="A123" s="935"/>
      <c r="B123" s="969" t="s">
        <v>558</v>
      </c>
      <c r="C123" s="935" t="s">
        <v>559</v>
      </c>
      <c r="D123" s="960">
        <v>150</v>
      </c>
      <c r="E123" s="997">
        <v>20000</v>
      </c>
      <c r="F123" s="961">
        <f t="shared" si="32"/>
        <v>3000000</v>
      </c>
      <c r="G123" s="973">
        <f t="shared" si="28"/>
        <v>3000000</v>
      </c>
      <c r="H123" s="968"/>
      <c r="I123" s="968"/>
      <c r="J123" s="973">
        <f t="shared" si="27"/>
        <v>3000000</v>
      </c>
      <c r="K123" s="973">
        <f t="shared" si="29"/>
        <v>3000000</v>
      </c>
    </row>
    <row r="124" spans="1:13" s="940" customFormat="1" x14ac:dyDescent="0.25">
      <c r="A124" s="935"/>
      <c r="B124" s="935" t="s">
        <v>717</v>
      </c>
      <c r="C124" s="935" t="s">
        <v>712</v>
      </c>
      <c r="D124" s="960">
        <v>75</v>
      </c>
      <c r="E124" s="922">
        <v>40000</v>
      </c>
      <c r="F124" s="961">
        <f t="shared" si="32"/>
        <v>3000000</v>
      </c>
      <c r="G124" s="973">
        <f t="shared" si="28"/>
        <v>3000000</v>
      </c>
      <c r="H124" s="968"/>
      <c r="I124" s="968"/>
      <c r="J124" s="973">
        <f t="shared" si="27"/>
        <v>3000000</v>
      </c>
      <c r="K124" s="973">
        <f t="shared" si="29"/>
        <v>3000000</v>
      </c>
    </row>
    <row r="125" spans="1:13" s="940" customFormat="1" x14ac:dyDescent="0.25">
      <c r="A125" s="933"/>
      <c r="B125" s="935" t="s">
        <v>713</v>
      </c>
      <c r="C125" s="935" t="s">
        <v>566</v>
      </c>
      <c r="D125" s="960">
        <v>1</v>
      </c>
      <c r="E125" s="922">
        <v>12000000</v>
      </c>
      <c r="F125" s="961">
        <f t="shared" si="32"/>
        <v>12000000</v>
      </c>
      <c r="G125" s="973">
        <f t="shared" si="28"/>
        <v>12000000</v>
      </c>
      <c r="H125" s="968"/>
      <c r="I125" s="968"/>
      <c r="J125" s="973">
        <f t="shared" si="27"/>
        <v>12000000</v>
      </c>
      <c r="K125" s="973">
        <f t="shared" si="29"/>
        <v>12000000</v>
      </c>
    </row>
    <row r="126" spans="1:13" s="940" customFormat="1" x14ac:dyDescent="0.25">
      <c r="A126" s="935" t="s">
        <v>364</v>
      </c>
      <c r="B126" s="938" t="s">
        <v>569</v>
      </c>
      <c r="C126" s="935"/>
      <c r="D126" s="960"/>
      <c r="E126" s="922"/>
      <c r="F126" s="961">
        <f>F127+F128+F129</f>
        <v>23500000</v>
      </c>
      <c r="G126" s="973">
        <f t="shared" si="28"/>
        <v>23500000</v>
      </c>
      <c r="H126" s="968"/>
      <c r="I126" s="968"/>
      <c r="J126" s="973">
        <f t="shared" si="27"/>
        <v>23500000</v>
      </c>
      <c r="K126" s="973">
        <f t="shared" si="29"/>
        <v>23500000</v>
      </c>
    </row>
    <row r="127" spans="1:13" s="940" customFormat="1" ht="30" x14ac:dyDescent="0.25">
      <c r="A127" s="935"/>
      <c r="B127" s="931" t="s">
        <v>567</v>
      </c>
      <c r="C127" s="935" t="s">
        <v>565</v>
      </c>
      <c r="D127" s="960">
        <v>5</v>
      </c>
      <c r="E127" s="922">
        <v>3200000</v>
      </c>
      <c r="F127" s="961">
        <f>D127*E127</f>
        <v>16000000</v>
      </c>
      <c r="G127" s="973">
        <f t="shared" si="28"/>
        <v>16000000</v>
      </c>
      <c r="H127" s="968"/>
      <c r="I127" s="968"/>
      <c r="J127" s="973">
        <f t="shared" si="27"/>
        <v>16000000</v>
      </c>
      <c r="K127" s="973">
        <f t="shared" si="29"/>
        <v>16000000</v>
      </c>
    </row>
    <row r="128" spans="1:13" s="940" customFormat="1" x14ac:dyDescent="0.25">
      <c r="A128" s="935"/>
      <c r="B128" s="939" t="s">
        <v>587</v>
      </c>
      <c r="C128" s="935" t="s">
        <v>205</v>
      </c>
      <c r="D128" s="960">
        <v>10</v>
      </c>
      <c r="E128" s="922">
        <v>450000</v>
      </c>
      <c r="F128" s="961">
        <f t="shared" ref="F128:F129" si="33">D128*E128</f>
        <v>4500000</v>
      </c>
      <c r="G128" s="937">
        <f t="shared" si="28"/>
        <v>4500000</v>
      </c>
      <c r="H128" s="968"/>
      <c r="I128" s="968"/>
      <c r="J128" s="922">
        <f t="shared" si="27"/>
        <v>4500000</v>
      </c>
      <c r="K128" s="922">
        <f t="shared" si="29"/>
        <v>4500000</v>
      </c>
      <c r="L128" s="945"/>
      <c r="M128" s="945"/>
    </row>
    <row r="129" spans="1:11" s="940" customFormat="1" x14ac:dyDescent="0.25">
      <c r="A129" s="935"/>
      <c r="B129" s="939" t="s">
        <v>589</v>
      </c>
      <c r="C129" s="935" t="s">
        <v>566</v>
      </c>
      <c r="D129" s="960">
        <v>15</v>
      </c>
      <c r="E129" s="922">
        <v>200000</v>
      </c>
      <c r="F129" s="961">
        <f t="shared" si="33"/>
        <v>3000000</v>
      </c>
      <c r="G129" s="961">
        <f t="shared" si="28"/>
        <v>3000000</v>
      </c>
      <c r="H129" s="968"/>
      <c r="I129" s="968"/>
      <c r="J129" s="961">
        <f t="shared" si="27"/>
        <v>3000000</v>
      </c>
      <c r="K129" s="961">
        <f t="shared" si="29"/>
        <v>3000000</v>
      </c>
    </row>
    <row r="130" spans="1:11" s="940" customFormat="1" ht="30" x14ac:dyDescent="0.25">
      <c r="A130" s="935" t="s">
        <v>509</v>
      </c>
      <c r="B130" s="935" t="s">
        <v>483</v>
      </c>
      <c r="C130" s="935"/>
      <c r="D130" s="960"/>
      <c r="E130" s="935"/>
      <c r="F130" s="922"/>
      <c r="G130" s="922"/>
      <c r="H130" s="922"/>
      <c r="I130" s="922"/>
      <c r="J130" s="935"/>
      <c r="K130" s="935"/>
    </row>
    <row r="131" spans="1:11" s="940" customFormat="1" ht="30" x14ac:dyDescent="0.25">
      <c r="A131" s="935" t="s">
        <v>510</v>
      </c>
      <c r="B131" s="935" t="s">
        <v>484</v>
      </c>
      <c r="C131" s="935" t="s">
        <v>701</v>
      </c>
      <c r="D131" s="960"/>
      <c r="E131" s="935"/>
      <c r="F131" s="922">
        <v>23674000</v>
      </c>
      <c r="G131" s="922">
        <f>F131</f>
        <v>23674000</v>
      </c>
      <c r="H131" s="922">
        <v>8918000</v>
      </c>
      <c r="I131" s="922">
        <f>H131</f>
        <v>8918000</v>
      </c>
      <c r="J131" s="922">
        <f>F131-H131</f>
        <v>14756000</v>
      </c>
      <c r="K131" s="922">
        <f>G131-I131</f>
        <v>14756000</v>
      </c>
    </row>
    <row r="132" spans="1:11" s="940" customFormat="1" x14ac:dyDescent="0.25">
      <c r="A132" s="935" t="s">
        <v>511</v>
      </c>
      <c r="B132" s="935" t="s">
        <v>545</v>
      </c>
      <c r="C132" s="935"/>
      <c r="D132" s="960"/>
      <c r="E132" s="935"/>
      <c r="F132" s="922">
        <f>30000000</f>
        <v>30000000</v>
      </c>
      <c r="G132" s="922">
        <v>30000000</v>
      </c>
      <c r="H132" s="922">
        <v>30000000</v>
      </c>
      <c r="I132" s="922">
        <v>30000000</v>
      </c>
      <c r="J132" s="922"/>
      <c r="K132" s="922"/>
    </row>
    <row r="133" spans="1:11" s="940" customFormat="1" x14ac:dyDescent="0.25">
      <c r="A133" s="935" t="s">
        <v>512</v>
      </c>
      <c r="B133" s="935" t="s">
        <v>485</v>
      </c>
      <c r="C133" s="935"/>
      <c r="D133" s="935"/>
      <c r="E133" s="935"/>
      <c r="F133" s="922"/>
      <c r="G133" s="922"/>
      <c r="H133" s="922"/>
      <c r="I133" s="922"/>
      <c r="J133" s="935"/>
      <c r="K133" s="935"/>
    </row>
    <row r="134" spans="1:11" s="940" customFormat="1" ht="30" x14ac:dyDescent="0.25">
      <c r="A134" s="935" t="s">
        <v>513</v>
      </c>
      <c r="B134" s="935" t="s">
        <v>486</v>
      </c>
      <c r="C134" s="935"/>
      <c r="D134" s="935"/>
      <c r="E134" s="935"/>
      <c r="F134" s="922"/>
      <c r="G134" s="922"/>
      <c r="H134" s="922"/>
      <c r="I134" s="922"/>
      <c r="J134" s="935"/>
      <c r="K134" s="935"/>
    </row>
    <row r="135" spans="1:11" s="940" customFormat="1" x14ac:dyDescent="0.25">
      <c r="A135" s="935"/>
      <c r="B135" s="933" t="s">
        <v>449</v>
      </c>
      <c r="C135" s="933"/>
      <c r="D135" s="933"/>
      <c r="E135" s="933"/>
      <c r="F135" s="934">
        <f>SUM(F8,F12,F63,F66,F94)</f>
        <v>811534000</v>
      </c>
      <c r="G135" s="934">
        <f>SUM(G8,G12,G63,G66,G94)</f>
        <v>811534000</v>
      </c>
      <c r="H135" s="934">
        <f>SUM(H8,H12,H63,H66,H94)</f>
        <v>527878000</v>
      </c>
      <c r="I135" s="934">
        <f>I8+I12+I66+I94</f>
        <v>527878000</v>
      </c>
      <c r="J135" s="934">
        <f>J8+J66+J94</f>
        <v>283656000</v>
      </c>
      <c r="K135" s="934">
        <f>K8+K66+K94</f>
        <v>283656000</v>
      </c>
    </row>
    <row r="137" spans="1:11" x14ac:dyDescent="0.25">
      <c r="F137" s="20"/>
    </row>
    <row r="138" spans="1:11" x14ac:dyDescent="0.25">
      <c r="F138" s="20"/>
      <c r="H138" s="20"/>
    </row>
    <row r="139" spans="1:11" x14ac:dyDescent="0.25">
      <c r="F139" s="20"/>
      <c r="H139" s="20"/>
    </row>
    <row r="140" spans="1:11" x14ac:dyDescent="0.25">
      <c r="F140" s="20"/>
      <c r="H140" s="304">
        <f>597318-595651</f>
        <v>1667</v>
      </c>
    </row>
    <row r="141" spans="1:11" x14ac:dyDescent="0.25">
      <c r="F141" s="20"/>
      <c r="H141" s="304">
        <f>H140+7251</f>
        <v>8918</v>
      </c>
    </row>
    <row r="142" spans="1:11" x14ac:dyDescent="0.25">
      <c r="D142" s="20"/>
    </row>
    <row r="143" spans="1:11" x14ac:dyDescent="0.25">
      <c r="F143" s="20"/>
      <c r="H143" s="20"/>
    </row>
    <row r="145" spans="6:8" customFormat="1" x14ac:dyDescent="0.25">
      <c r="F145" s="20"/>
      <c r="H145" s="304"/>
    </row>
    <row r="146" spans="6:8" customFormat="1" x14ac:dyDescent="0.25">
      <c r="F146" s="20"/>
      <c r="H146" s="304"/>
    </row>
    <row r="153" spans="6:8" customFormat="1" x14ac:dyDescent="0.25">
      <c r="H153" s="20"/>
    </row>
  </sheetData>
  <mergeCells count="11">
    <mergeCell ref="A1:M1"/>
    <mergeCell ref="A3:A6"/>
    <mergeCell ref="B3:B6"/>
    <mergeCell ref="F5:G5"/>
    <mergeCell ref="J5:K5"/>
    <mergeCell ref="H5:I5"/>
    <mergeCell ref="C3:K3"/>
    <mergeCell ref="C4:K4"/>
    <mergeCell ref="C5:C6"/>
    <mergeCell ref="D5:D6"/>
    <mergeCell ref="E5:E6"/>
  </mergeCells>
  <pageMargins left="0.7" right="0.7" top="0.75" bottom="0.75" header="0.3" footer="0.3"/>
  <pageSetup paperSize="9" orientation="portrait" horizontalDpi="150" verticalDpi="15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0099"/>
  </sheetPr>
  <dimension ref="A1:CN233"/>
  <sheetViews>
    <sheetView tabSelected="1" zoomScale="70" zoomScaleNormal="70" workbookViewId="0">
      <selection activeCell="L229" sqref="L229"/>
    </sheetView>
  </sheetViews>
  <sheetFormatPr defaultRowHeight="15.75" x14ac:dyDescent="0.25"/>
  <cols>
    <col min="1" max="1" width="6.28515625" style="302" customWidth="1"/>
    <col min="2" max="2" width="42.140625" style="658" customWidth="1"/>
    <col min="3" max="3" width="17.85546875" style="713" customWidth="1"/>
    <col min="4" max="4" width="12.5703125" style="88" customWidth="1"/>
    <col min="5" max="5" width="11.42578125" style="88" customWidth="1"/>
    <col min="6" max="6" width="15.7109375" style="331" customWidth="1"/>
    <col min="7" max="7" width="11.7109375" style="661" customWidth="1"/>
    <col min="8" max="8" width="16.42578125" style="637" customWidth="1"/>
    <col min="9" max="9" width="16.28515625" style="744" customWidth="1"/>
    <col min="10" max="10" width="15.7109375" style="88" customWidth="1"/>
    <col min="11" max="11" width="13.85546875" style="88" customWidth="1"/>
    <col min="12" max="12" width="12.5703125" style="88" customWidth="1"/>
    <col min="13" max="13" width="11.28515625" style="88" customWidth="1"/>
    <col min="14" max="14" width="12" style="88" customWidth="1"/>
    <col min="15" max="245" width="9.140625" style="88"/>
    <col min="246" max="246" width="6.28515625" style="88" customWidth="1"/>
    <col min="247" max="247" width="37.28515625" style="88" customWidth="1"/>
    <col min="248" max="249" width="21.7109375" style="88" customWidth="1"/>
    <col min="250" max="250" width="11.28515625" style="88" customWidth="1"/>
    <col min="251" max="251" width="9.7109375" style="88" customWidth="1"/>
    <col min="252" max="253" width="11.42578125" style="88" customWidth="1"/>
    <col min="254" max="254" width="18.28515625" style="88" customWidth="1"/>
    <col min="255" max="255" width="17.7109375" style="88" customWidth="1"/>
    <col min="256" max="256" width="17.28515625" style="88" customWidth="1"/>
    <col min="257" max="257" width="17.42578125" style="88" customWidth="1"/>
    <col min="258" max="258" width="12.42578125" style="88" customWidth="1"/>
    <col min="259" max="259" width="19.7109375" style="88" customWidth="1"/>
    <col min="260" max="260" width="16.28515625" style="88" customWidth="1"/>
    <col min="261" max="501" width="9.140625" style="88"/>
    <col min="502" max="502" width="6.28515625" style="88" customWidth="1"/>
    <col min="503" max="503" width="37.28515625" style="88" customWidth="1"/>
    <col min="504" max="505" width="21.7109375" style="88" customWidth="1"/>
    <col min="506" max="506" width="11.28515625" style="88" customWidth="1"/>
    <col min="507" max="507" width="9.7109375" style="88" customWidth="1"/>
    <col min="508" max="509" width="11.42578125" style="88" customWidth="1"/>
    <col min="510" max="510" width="18.28515625" style="88" customWidth="1"/>
    <col min="511" max="511" width="17.7109375" style="88" customWidth="1"/>
    <col min="512" max="512" width="17.28515625" style="88" customWidth="1"/>
    <col min="513" max="513" width="17.42578125" style="88" customWidth="1"/>
    <col min="514" max="514" width="12.42578125" style="88" customWidth="1"/>
    <col min="515" max="515" width="19.7109375" style="88" customWidth="1"/>
    <col min="516" max="516" width="16.28515625" style="88" customWidth="1"/>
    <col min="517" max="757" width="9.140625" style="88"/>
    <col min="758" max="758" width="6.28515625" style="88" customWidth="1"/>
    <col min="759" max="759" width="37.28515625" style="88" customWidth="1"/>
    <col min="760" max="761" width="21.7109375" style="88" customWidth="1"/>
    <col min="762" max="762" width="11.28515625" style="88" customWidth="1"/>
    <col min="763" max="763" width="9.7109375" style="88" customWidth="1"/>
    <col min="764" max="765" width="11.42578125" style="88" customWidth="1"/>
    <col min="766" max="766" width="18.28515625" style="88" customWidth="1"/>
    <col min="767" max="767" width="17.7109375" style="88" customWidth="1"/>
    <col min="768" max="768" width="17.28515625" style="88" customWidth="1"/>
    <col min="769" max="769" width="17.42578125" style="88" customWidth="1"/>
    <col min="770" max="770" width="12.42578125" style="88" customWidth="1"/>
    <col min="771" max="771" width="19.7109375" style="88" customWidth="1"/>
    <col min="772" max="772" width="16.28515625" style="88" customWidth="1"/>
    <col min="773" max="1013" width="9.140625" style="88"/>
    <col min="1014" max="1014" width="6.28515625" style="88" customWidth="1"/>
    <col min="1015" max="1015" width="37.28515625" style="88" customWidth="1"/>
    <col min="1016" max="1017" width="21.7109375" style="88" customWidth="1"/>
    <col min="1018" max="1018" width="11.28515625" style="88" customWidth="1"/>
    <col min="1019" max="1019" width="9.7109375" style="88" customWidth="1"/>
    <col min="1020" max="1021" width="11.42578125" style="88" customWidth="1"/>
    <col min="1022" max="1022" width="18.28515625" style="88" customWidth="1"/>
    <col min="1023" max="1023" width="17.7109375" style="88" customWidth="1"/>
    <col min="1024" max="1024" width="17.28515625" style="88" customWidth="1"/>
    <col min="1025" max="1025" width="17.42578125" style="88" customWidth="1"/>
    <col min="1026" max="1026" width="12.42578125" style="88" customWidth="1"/>
    <col min="1027" max="1027" width="19.7109375" style="88" customWidth="1"/>
    <col min="1028" max="1028" width="16.28515625" style="88" customWidth="1"/>
    <col min="1029" max="1269" width="9.140625" style="88"/>
    <col min="1270" max="1270" width="6.28515625" style="88" customWidth="1"/>
    <col min="1271" max="1271" width="37.28515625" style="88" customWidth="1"/>
    <col min="1272" max="1273" width="21.7109375" style="88" customWidth="1"/>
    <col min="1274" max="1274" width="11.28515625" style="88" customWidth="1"/>
    <col min="1275" max="1275" width="9.7109375" style="88" customWidth="1"/>
    <col min="1276" max="1277" width="11.42578125" style="88" customWidth="1"/>
    <col min="1278" max="1278" width="18.28515625" style="88" customWidth="1"/>
    <col min="1279" max="1279" width="17.7109375" style="88" customWidth="1"/>
    <col min="1280" max="1280" width="17.28515625" style="88" customWidth="1"/>
    <col min="1281" max="1281" width="17.42578125" style="88" customWidth="1"/>
    <col min="1282" max="1282" width="12.42578125" style="88" customWidth="1"/>
    <col min="1283" max="1283" width="19.7109375" style="88" customWidth="1"/>
    <col min="1284" max="1284" width="16.28515625" style="88" customWidth="1"/>
    <col min="1285" max="1525" width="9.140625" style="88"/>
    <col min="1526" max="1526" width="6.28515625" style="88" customWidth="1"/>
    <col min="1527" max="1527" width="37.28515625" style="88" customWidth="1"/>
    <col min="1528" max="1529" width="21.7109375" style="88" customWidth="1"/>
    <col min="1530" max="1530" width="11.28515625" style="88" customWidth="1"/>
    <col min="1531" max="1531" width="9.7109375" style="88" customWidth="1"/>
    <col min="1532" max="1533" width="11.42578125" style="88" customWidth="1"/>
    <col min="1534" max="1534" width="18.28515625" style="88" customWidth="1"/>
    <col min="1535" max="1535" width="17.7109375" style="88" customWidth="1"/>
    <col min="1536" max="1536" width="17.28515625" style="88" customWidth="1"/>
    <col min="1537" max="1537" width="17.42578125" style="88" customWidth="1"/>
    <col min="1538" max="1538" width="12.42578125" style="88" customWidth="1"/>
    <col min="1539" max="1539" width="19.7109375" style="88" customWidth="1"/>
    <col min="1540" max="1540" width="16.28515625" style="88" customWidth="1"/>
    <col min="1541" max="1781" width="9.140625" style="88"/>
    <col min="1782" max="1782" width="6.28515625" style="88" customWidth="1"/>
    <col min="1783" max="1783" width="37.28515625" style="88" customWidth="1"/>
    <col min="1784" max="1785" width="21.7109375" style="88" customWidth="1"/>
    <col min="1786" max="1786" width="11.28515625" style="88" customWidth="1"/>
    <col min="1787" max="1787" width="9.7109375" style="88" customWidth="1"/>
    <col min="1788" max="1789" width="11.42578125" style="88" customWidth="1"/>
    <col min="1790" max="1790" width="18.28515625" style="88" customWidth="1"/>
    <col min="1791" max="1791" width="17.7109375" style="88" customWidth="1"/>
    <col min="1792" max="1792" width="17.28515625" style="88" customWidth="1"/>
    <col min="1793" max="1793" width="17.42578125" style="88" customWidth="1"/>
    <col min="1794" max="1794" width="12.42578125" style="88" customWidth="1"/>
    <col min="1795" max="1795" width="19.7109375" style="88" customWidth="1"/>
    <col min="1796" max="1796" width="16.28515625" style="88" customWidth="1"/>
    <col min="1797" max="2037" width="9.140625" style="88"/>
    <col min="2038" max="2038" width="6.28515625" style="88" customWidth="1"/>
    <col min="2039" max="2039" width="37.28515625" style="88" customWidth="1"/>
    <col min="2040" max="2041" width="21.7109375" style="88" customWidth="1"/>
    <col min="2042" max="2042" width="11.28515625" style="88" customWidth="1"/>
    <col min="2043" max="2043" width="9.7109375" style="88" customWidth="1"/>
    <col min="2044" max="2045" width="11.42578125" style="88" customWidth="1"/>
    <col min="2046" max="2046" width="18.28515625" style="88" customWidth="1"/>
    <col min="2047" max="2047" width="17.7109375" style="88" customWidth="1"/>
    <col min="2048" max="2048" width="17.28515625" style="88" customWidth="1"/>
    <col min="2049" max="2049" width="17.42578125" style="88" customWidth="1"/>
    <col min="2050" max="2050" width="12.42578125" style="88" customWidth="1"/>
    <col min="2051" max="2051" width="19.7109375" style="88" customWidth="1"/>
    <col min="2052" max="2052" width="16.28515625" style="88" customWidth="1"/>
    <col min="2053" max="2293" width="9.140625" style="88"/>
    <col min="2294" max="2294" width="6.28515625" style="88" customWidth="1"/>
    <col min="2295" max="2295" width="37.28515625" style="88" customWidth="1"/>
    <col min="2296" max="2297" width="21.7109375" style="88" customWidth="1"/>
    <col min="2298" max="2298" width="11.28515625" style="88" customWidth="1"/>
    <col min="2299" max="2299" width="9.7109375" style="88" customWidth="1"/>
    <col min="2300" max="2301" width="11.42578125" style="88" customWidth="1"/>
    <col min="2302" max="2302" width="18.28515625" style="88" customWidth="1"/>
    <col min="2303" max="2303" width="17.7109375" style="88" customWidth="1"/>
    <col min="2304" max="2304" width="17.28515625" style="88" customWidth="1"/>
    <col min="2305" max="2305" width="17.42578125" style="88" customWidth="1"/>
    <col min="2306" max="2306" width="12.42578125" style="88" customWidth="1"/>
    <col min="2307" max="2307" width="19.7109375" style="88" customWidth="1"/>
    <col min="2308" max="2308" width="16.28515625" style="88" customWidth="1"/>
    <col min="2309" max="2549" width="9.140625" style="88"/>
    <col min="2550" max="2550" width="6.28515625" style="88" customWidth="1"/>
    <col min="2551" max="2551" width="37.28515625" style="88" customWidth="1"/>
    <col min="2552" max="2553" width="21.7109375" style="88" customWidth="1"/>
    <col min="2554" max="2554" width="11.28515625" style="88" customWidth="1"/>
    <col min="2555" max="2555" width="9.7109375" style="88" customWidth="1"/>
    <col min="2556" max="2557" width="11.42578125" style="88" customWidth="1"/>
    <col min="2558" max="2558" width="18.28515625" style="88" customWidth="1"/>
    <col min="2559" max="2559" width="17.7109375" style="88" customWidth="1"/>
    <col min="2560" max="2560" width="17.28515625" style="88" customWidth="1"/>
    <col min="2561" max="2561" width="17.42578125" style="88" customWidth="1"/>
    <col min="2562" max="2562" width="12.42578125" style="88" customWidth="1"/>
    <col min="2563" max="2563" width="19.7109375" style="88" customWidth="1"/>
    <col min="2564" max="2564" width="16.28515625" style="88" customWidth="1"/>
    <col min="2565" max="2805" width="9.140625" style="88"/>
    <col min="2806" max="2806" width="6.28515625" style="88" customWidth="1"/>
    <col min="2807" max="2807" width="37.28515625" style="88" customWidth="1"/>
    <col min="2808" max="2809" width="21.7109375" style="88" customWidth="1"/>
    <col min="2810" max="2810" width="11.28515625" style="88" customWidth="1"/>
    <col min="2811" max="2811" width="9.7109375" style="88" customWidth="1"/>
    <col min="2812" max="2813" width="11.42578125" style="88" customWidth="1"/>
    <col min="2814" max="2814" width="18.28515625" style="88" customWidth="1"/>
    <col min="2815" max="2815" width="17.7109375" style="88" customWidth="1"/>
    <col min="2816" max="2816" width="17.28515625" style="88" customWidth="1"/>
    <col min="2817" max="2817" width="17.42578125" style="88" customWidth="1"/>
    <col min="2818" max="2818" width="12.42578125" style="88" customWidth="1"/>
    <col min="2819" max="2819" width="19.7109375" style="88" customWidth="1"/>
    <col min="2820" max="2820" width="16.28515625" style="88" customWidth="1"/>
    <col min="2821" max="3061" width="9.140625" style="88"/>
    <col min="3062" max="3062" width="6.28515625" style="88" customWidth="1"/>
    <col min="3063" max="3063" width="37.28515625" style="88" customWidth="1"/>
    <col min="3064" max="3065" width="21.7109375" style="88" customWidth="1"/>
    <col min="3066" max="3066" width="11.28515625" style="88" customWidth="1"/>
    <col min="3067" max="3067" width="9.7109375" style="88" customWidth="1"/>
    <col min="3068" max="3069" width="11.42578125" style="88" customWidth="1"/>
    <col min="3070" max="3070" width="18.28515625" style="88" customWidth="1"/>
    <col min="3071" max="3071" width="17.7109375" style="88" customWidth="1"/>
    <col min="3072" max="3072" width="17.28515625" style="88" customWidth="1"/>
    <col min="3073" max="3073" width="17.42578125" style="88" customWidth="1"/>
    <col min="3074" max="3074" width="12.42578125" style="88" customWidth="1"/>
    <col min="3075" max="3075" width="19.7109375" style="88" customWidth="1"/>
    <col min="3076" max="3076" width="16.28515625" style="88" customWidth="1"/>
    <col min="3077" max="3317" width="9.140625" style="88"/>
    <col min="3318" max="3318" width="6.28515625" style="88" customWidth="1"/>
    <col min="3319" max="3319" width="37.28515625" style="88" customWidth="1"/>
    <col min="3320" max="3321" width="21.7109375" style="88" customWidth="1"/>
    <col min="3322" max="3322" width="11.28515625" style="88" customWidth="1"/>
    <col min="3323" max="3323" width="9.7109375" style="88" customWidth="1"/>
    <col min="3324" max="3325" width="11.42578125" style="88" customWidth="1"/>
    <col min="3326" max="3326" width="18.28515625" style="88" customWidth="1"/>
    <col min="3327" max="3327" width="17.7109375" style="88" customWidth="1"/>
    <col min="3328" max="3328" width="17.28515625" style="88" customWidth="1"/>
    <col min="3329" max="3329" width="17.42578125" style="88" customWidth="1"/>
    <col min="3330" max="3330" width="12.42578125" style="88" customWidth="1"/>
    <col min="3331" max="3331" width="19.7109375" style="88" customWidth="1"/>
    <col min="3332" max="3332" width="16.28515625" style="88" customWidth="1"/>
    <col min="3333" max="3573" width="9.140625" style="88"/>
    <col min="3574" max="3574" width="6.28515625" style="88" customWidth="1"/>
    <col min="3575" max="3575" width="37.28515625" style="88" customWidth="1"/>
    <col min="3576" max="3577" width="21.7109375" style="88" customWidth="1"/>
    <col min="3578" max="3578" width="11.28515625" style="88" customWidth="1"/>
    <col min="3579" max="3579" width="9.7109375" style="88" customWidth="1"/>
    <col min="3580" max="3581" width="11.42578125" style="88" customWidth="1"/>
    <col min="3582" max="3582" width="18.28515625" style="88" customWidth="1"/>
    <col min="3583" max="3583" width="17.7109375" style="88" customWidth="1"/>
    <col min="3584" max="3584" width="17.28515625" style="88" customWidth="1"/>
    <col min="3585" max="3585" width="17.42578125" style="88" customWidth="1"/>
    <col min="3586" max="3586" width="12.42578125" style="88" customWidth="1"/>
    <col min="3587" max="3587" width="19.7109375" style="88" customWidth="1"/>
    <col min="3588" max="3588" width="16.28515625" style="88" customWidth="1"/>
    <col min="3589" max="3829" width="9.140625" style="88"/>
    <col min="3830" max="3830" width="6.28515625" style="88" customWidth="1"/>
    <col min="3831" max="3831" width="37.28515625" style="88" customWidth="1"/>
    <col min="3832" max="3833" width="21.7109375" style="88" customWidth="1"/>
    <col min="3834" max="3834" width="11.28515625" style="88" customWidth="1"/>
    <col min="3835" max="3835" width="9.7109375" style="88" customWidth="1"/>
    <col min="3836" max="3837" width="11.42578125" style="88" customWidth="1"/>
    <col min="3838" max="3838" width="18.28515625" style="88" customWidth="1"/>
    <col min="3839" max="3839" width="17.7109375" style="88" customWidth="1"/>
    <col min="3840" max="3840" width="17.28515625" style="88" customWidth="1"/>
    <col min="3841" max="3841" width="17.42578125" style="88" customWidth="1"/>
    <col min="3842" max="3842" width="12.42578125" style="88" customWidth="1"/>
    <col min="3843" max="3843" width="19.7109375" style="88" customWidth="1"/>
    <col min="3844" max="3844" width="16.28515625" style="88" customWidth="1"/>
    <col min="3845" max="4085" width="9.140625" style="88"/>
    <col min="4086" max="4086" width="6.28515625" style="88" customWidth="1"/>
    <col min="4087" max="4087" width="37.28515625" style="88" customWidth="1"/>
    <col min="4088" max="4089" width="21.7109375" style="88" customWidth="1"/>
    <col min="4090" max="4090" width="11.28515625" style="88" customWidth="1"/>
    <col min="4091" max="4091" width="9.7109375" style="88" customWidth="1"/>
    <col min="4092" max="4093" width="11.42578125" style="88" customWidth="1"/>
    <col min="4094" max="4094" width="18.28515625" style="88" customWidth="1"/>
    <col min="4095" max="4095" width="17.7109375" style="88" customWidth="1"/>
    <col min="4096" max="4096" width="17.28515625" style="88" customWidth="1"/>
    <col min="4097" max="4097" width="17.42578125" style="88" customWidth="1"/>
    <col min="4098" max="4098" width="12.42578125" style="88" customWidth="1"/>
    <col min="4099" max="4099" width="19.7109375" style="88" customWidth="1"/>
    <col min="4100" max="4100" width="16.28515625" style="88" customWidth="1"/>
    <col min="4101" max="4341" width="9.140625" style="88"/>
    <col min="4342" max="4342" width="6.28515625" style="88" customWidth="1"/>
    <col min="4343" max="4343" width="37.28515625" style="88" customWidth="1"/>
    <col min="4344" max="4345" width="21.7109375" style="88" customWidth="1"/>
    <col min="4346" max="4346" width="11.28515625" style="88" customWidth="1"/>
    <col min="4347" max="4347" width="9.7109375" style="88" customWidth="1"/>
    <col min="4348" max="4349" width="11.42578125" style="88" customWidth="1"/>
    <col min="4350" max="4350" width="18.28515625" style="88" customWidth="1"/>
    <col min="4351" max="4351" width="17.7109375" style="88" customWidth="1"/>
    <col min="4352" max="4352" width="17.28515625" style="88" customWidth="1"/>
    <col min="4353" max="4353" width="17.42578125" style="88" customWidth="1"/>
    <col min="4354" max="4354" width="12.42578125" style="88" customWidth="1"/>
    <col min="4355" max="4355" width="19.7109375" style="88" customWidth="1"/>
    <col min="4356" max="4356" width="16.28515625" style="88" customWidth="1"/>
    <col min="4357" max="4597" width="9.140625" style="88"/>
    <col min="4598" max="4598" width="6.28515625" style="88" customWidth="1"/>
    <col min="4599" max="4599" width="37.28515625" style="88" customWidth="1"/>
    <col min="4600" max="4601" width="21.7109375" style="88" customWidth="1"/>
    <col min="4602" max="4602" width="11.28515625" style="88" customWidth="1"/>
    <col min="4603" max="4603" width="9.7109375" style="88" customWidth="1"/>
    <col min="4604" max="4605" width="11.42578125" style="88" customWidth="1"/>
    <col min="4606" max="4606" width="18.28515625" style="88" customWidth="1"/>
    <col min="4607" max="4607" width="17.7109375" style="88" customWidth="1"/>
    <col min="4608" max="4608" width="17.28515625" style="88" customWidth="1"/>
    <col min="4609" max="4609" width="17.42578125" style="88" customWidth="1"/>
    <col min="4610" max="4610" width="12.42578125" style="88" customWidth="1"/>
    <col min="4611" max="4611" width="19.7109375" style="88" customWidth="1"/>
    <col min="4612" max="4612" width="16.28515625" style="88" customWidth="1"/>
    <col min="4613" max="4853" width="9.140625" style="88"/>
    <col min="4854" max="4854" width="6.28515625" style="88" customWidth="1"/>
    <col min="4855" max="4855" width="37.28515625" style="88" customWidth="1"/>
    <col min="4856" max="4857" width="21.7109375" style="88" customWidth="1"/>
    <col min="4858" max="4858" width="11.28515625" style="88" customWidth="1"/>
    <col min="4859" max="4859" width="9.7109375" style="88" customWidth="1"/>
    <col min="4860" max="4861" width="11.42578125" style="88" customWidth="1"/>
    <col min="4862" max="4862" width="18.28515625" style="88" customWidth="1"/>
    <col min="4863" max="4863" width="17.7109375" style="88" customWidth="1"/>
    <col min="4864" max="4864" width="17.28515625" style="88" customWidth="1"/>
    <col min="4865" max="4865" width="17.42578125" style="88" customWidth="1"/>
    <col min="4866" max="4866" width="12.42578125" style="88" customWidth="1"/>
    <col min="4867" max="4867" width="19.7109375" style="88" customWidth="1"/>
    <col min="4868" max="4868" width="16.28515625" style="88" customWidth="1"/>
    <col min="4869" max="5109" width="9.140625" style="88"/>
    <col min="5110" max="5110" width="6.28515625" style="88" customWidth="1"/>
    <col min="5111" max="5111" width="37.28515625" style="88" customWidth="1"/>
    <col min="5112" max="5113" width="21.7109375" style="88" customWidth="1"/>
    <col min="5114" max="5114" width="11.28515625" style="88" customWidth="1"/>
    <col min="5115" max="5115" width="9.7109375" style="88" customWidth="1"/>
    <col min="5116" max="5117" width="11.42578125" style="88" customWidth="1"/>
    <col min="5118" max="5118" width="18.28515625" style="88" customWidth="1"/>
    <col min="5119" max="5119" width="17.7109375" style="88" customWidth="1"/>
    <col min="5120" max="5120" width="17.28515625" style="88" customWidth="1"/>
    <col min="5121" max="5121" width="17.42578125" style="88" customWidth="1"/>
    <col min="5122" max="5122" width="12.42578125" style="88" customWidth="1"/>
    <col min="5123" max="5123" width="19.7109375" style="88" customWidth="1"/>
    <col min="5124" max="5124" width="16.28515625" style="88" customWidth="1"/>
    <col min="5125" max="5365" width="9.140625" style="88"/>
    <col min="5366" max="5366" width="6.28515625" style="88" customWidth="1"/>
    <col min="5367" max="5367" width="37.28515625" style="88" customWidth="1"/>
    <col min="5368" max="5369" width="21.7109375" style="88" customWidth="1"/>
    <col min="5370" max="5370" width="11.28515625" style="88" customWidth="1"/>
    <col min="5371" max="5371" width="9.7109375" style="88" customWidth="1"/>
    <col min="5372" max="5373" width="11.42578125" style="88" customWidth="1"/>
    <col min="5374" max="5374" width="18.28515625" style="88" customWidth="1"/>
    <col min="5375" max="5375" width="17.7109375" style="88" customWidth="1"/>
    <col min="5376" max="5376" width="17.28515625" style="88" customWidth="1"/>
    <col min="5377" max="5377" width="17.42578125" style="88" customWidth="1"/>
    <col min="5378" max="5378" width="12.42578125" style="88" customWidth="1"/>
    <col min="5379" max="5379" width="19.7109375" style="88" customWidth="1"/>
    <col min="5380" max="5380" width="16.28515625" style="88" customWidth="1"/>
    <col min="5381" max="5621" width="9.140625" style="88"/>
    <col min="5622" max="5622" width="6.28515625" style="88" customWidth="1"/>
    <col min="5623" max="5623" width="37.28515625" style="88" customWidth="1"/>
    <col min="5624" max="5625" width="21.7109375" style="88" customWidth="1"/>
    <col min="5626" max="5626" width="11.28515625" style="88" customWidth="1"/>
    <col min="5627" max="5627" width="9.7109375" style="88" customWidth="1"/>
    <col min="5628" max="5629" width="11.42578125" style="88" customWidth="1"/>
    <col min="5630" max="5630" width="18.28515625" style="88" customWidth="1"/>
    <col min="5631" max="5631" width="17.7109375" style="88" customWidth="1"/>
    <col min="5632" max="5632" width="17.28515625" style="88" customWidth="1"/>
    <col min="5633" max="5633" width="17.42578125" style="88" customWidth="1"/>
    <col min="5634" max="5634" width="12.42578125" style="88" customWidth="1"/>
    <col min="5635" max="5635" width="19.7109375" style="88" customWidth="1"/>
    <col min="5636" max="5636" width="16.28515625" style="88" customWidth="1"/>
    <col min="5637" max="5877" width="9.140625" style="88"/>
    <col min="5878" max="5878" width="6.28515625" style="88" customWidth="1"/>
    <col min="5879" max="5879" width="37.28515625" style="88" customWidth="1"/>
    <col min="5880" max="5881" width="21.7109375" style="88" customWidth="1"/>
    <col min="5882" max="5882" width="11.28515625" style="88" customWidth="1"/>
    <col min="5883" max="5883" width="9.7109375" style="88" customWidth="1"/>
    <col min="5884" max="5885" width="11.42578125" style="88" customWidth="1"/>
    <col min="5886" max="5886" width="18.28515625" style="88" customWidth="1"/>
    <col min="5887" max="5887" width="17.7109375" style="88" customWidth="1"/>
    <col min="5888" max="5888" width="17.28515625" style="88" customWidth="1"/>
    <col min="5889" max="5889" width="17.42578125" style="88" customWidth="1"/>
    <col min="5890" max="5890" width="12.42578125" style="88" customWidth="1"/>
    <col min="5891" max="5891" width="19.7109375" style="88" customWidth="1"/>
    <col min="5892" max="5892" width="16.28515625" style="88" customWidth="1"/>
    <col min="5893" max="6133" width="9.140625" style="88"/>
    <col min="6134" max="6134" width="6.28515625" style="88" customWidth="1"/>
    <col min="6135" max="6135" width="37.28515625" style="88" customWidth="1"/>
    <col min="6136" max="6137" width="21.7109375" style="88" customWidth="1"/>
    <col min="6138" max="6138" width="11.28515625" style="88" customWidth="1"/>
    <col min="6139" max="6139" width="9.7109375" style="88" customWidth="1"/>
    <col min="6140" max="6141" width="11.42578125" style="88" customWidth="1"/>
    <col min="6142" max="6142" width="18.28515625" style="88" customWidth="1"/>
    <col min="6143" max="6143" width="17.7109375" style="88" customWidth="1"/>
    <col min="6144" max="6144" width="17.28515625" style="88" customWidth="1"/>
    <col min="6145" max="6145" width="17.42578125" style="88" customWidth="1"/>
    <col min="6146" max="6146" width="12.42578125" style="88" customWidth="1"/>
    <col min="6147" max="6147" width="19.7109375" style="88" customWidth="1"/>
    <col min="6148" max="6148" width="16.28515625" style="88" customWidth="1"/>
    <col min="6149" max="6389" width="9.140625" style="88"/>
    <col min="6390" max="6390" width="6.28515625" style="88" customWidth="1"/>
    <col min="6391" max="6391" width="37.28515625" style="88" customWidth="1"/>
    <col min="6392" max="6393" width="21.7109375" style="88" customWidth="1"/>
    <col min="6394" max="6394" width="11.28515625" style="88" customWidth="1"/>
    <col min="6395" max="6395" width="9.7109375" style="88" customWidth="1"/>
    <col min="6396" max="6397" width="11.42578125" style="88" customWidth="1"/>
    <col min="6398" max="6398" width="18.28515625" style="88" customWidth="1"/>
    <col min="6399" max="6399" width="17.7109375" style="88" customWidth="1"/>
    <col min="6400" max="6400" width="17.28515625" style="88" customWidth="1"/>
    <col min="6401" max="6401" width="17.42578125" style="88" customWidth="1"/>
    <col min="6402" max="6402" width="12.42578125" style="88" customWidth="1"/>
    <col min="6403" max="6403" width="19.7109375" style="88" customWidth="1"/>
    <col min="6404" max="6404" width="16.28515625" style="88" customWidth="1"/>
    <col min="6405" max="6645" width="9.140625" style="88"/>
    <col min="6646" max="6646" width="6.28515625" style="88" customWidth="1"/>
    <col min="6647" max="6647" width="37.28515625" style="88" customWidth="1"/>
    <col min="6648" max="6649" width="21.7109375" style="88" customWidth="1"/>
    <col min="6650" max="6650" width="11.28515625" style="88" customWidth="1"/>
    <col min="6651" max="6651" width="9.7109375" style="88" customWidth="1"/>
    <col min="6652" max="6653" width="11.42578125" style="88" customWidth="1"/>
    <col min="6654" max="6654" width="18.28515625" style="88" customWidth="1"/>
    <col min="6655" max="6655" width="17.7109375" style="88" customWidth="1"/>
    <col min="6656" max="6656" width="17.28515625" style="88" customWidth="1"/>
    <col min="6657" max="6657" width="17.42578125" style="88" customWidth="1"/>
    <col min="6658" max="6658" width="12.42578125" style="88" customWidth="1"/>
    <col min="6659" max="6659" width="19.7109375" style="88" customWidth="1"/>
    <col min="6660" max="6660" width="16.28515625" style="88" customWidth="1"/>
    <col min="6661" max="6901" width="9.140625" style="88"/>
    <col min="6902" max="6902" width="6.28515625" style="88" customWidth="1"/>
    <col min="6903" max="6903" width="37.28515625" style="88" customWidth="1"/>
    <col min="6904" max="6905" width="21.7109375" style="88" customWidth="1"/>
    <col min="6906" max="6906" width="11.28515625" style="88" customWidth="1"/>
    <col min="6907" max="6907" width="9.7109375" style="88" customWidth="1"/>
    <col min="6908" max="6909" width="11.42578125" style="88" customWidth="1"/>
    <col min="6910" max="6910" width="18.28515625" style="88" customWidth="1"/>
    <col min="6911" max="6911" width="17.7109375" style="88" customWidth="1"/>
    <col min="6912" max="6912" width="17.28515625" style="88" customWidth="1"/>
    <col min="6913" max="6913" width="17.42578125" style="88" customWidth="1"/>
    <col min="6914" max="6914" width="12.42578125" style="88" customWidth="1"/>
    <col min="6915" max="6915" width="19.7109375" style="88" customWidth="1"/>
    <col min="6916" max="6916" width="16.28515625" style="88" customWidth="1"/>
    <col min="6917" max="7157" width="9.140625" style="88"/>
    <col min="7158" max="7158" width="6.28515625" style="88" customWidth="1"/>
    <col min="7159" max="7159" width="37.28515625" style="88" customWidth="1"/>
    <col min="7160" max="7161" width="21.7109375" style="88" customWidth="1"/>
    <col min="7162" max="7162" width="11.28515625" style="88" customWidth="1"/>
    <col min="7163" max="7163" width="9.7109375" style="88" customWidth="1"/>
    <col min="7164" max="7165" width="11.42578125" style="88" customWidth="1"/>
    <col min="7166" max="7166" width="18.28515625" style="88" customWidth="1"/>
    <col min="7167" max="7167" width="17.7109375" style="88" customWidth="1"/>
    <col min="7168" max="7168" width="17.28515625" style="88" customWidth="1"/>
    <col min="7169" max="7169" width="17.42578125" style="88" customWidth="1"/>
    <col min="7170" max="7170" width="12.42578125" style="88" customWidth="1"/>
    <col min="7171" max="7171" width="19.7109375" style="88" customWidth="1"/>
    <col min="7172" max="7172" width="16.28515625" style="88" customWidth="1"/>
    <col min="7173" max="7413" width="9.140625" style="88"/>
    <col min="7414" max="7414" width="6.28515625" style="88" customWidth="1"/>
    <col min="7415" max="7415" width="37.28515625" style="88" customWidth="1"/>
    <col min="7416" max="7417" width="21.7109375" style="88" customWidth="1"/>
    <col min="7418" max="7418" width="11.28515625" style="88" customWidth="1"/>
    <col min="7419" max="7419" width="9.7109375" style="88" customWidth="1"/>
    <col min="7420" max="7421" width="11.42578125" style="88" customWidth="1"/>
    <col min="7422" max="7422" width="18.28515625" style="88" customWidth="1"/>
    <col min="7423" max="7423" width="17.7109375" style="88" customWidth="1"/>
    <col min="7424" max="7424" width="17.28515625" style="88" customWidth="1"/>
    <col min="7425" max="7425" width="17.42578125" style="88" customWidth="1"/>
    <col min="7426" max="7426" width="12.42578125" style="88" customWidth="1"/>
    <col min="7427" max="7427" width="19.7109375" style="88" customWidth="1"/>
    <col min="7428" max="7428" width="16.28515625" style="88" customWidth="1"/>
    <col min="7429" max="7669" width="9.140625" style="88"/>
    <col min="7670" max="7670" width="6.28515625" style="88" customWidth="1"/>
    <col min="7671" max="7671" width="37.28515625" style="88" customWidth="1"/>
    <col min="7672" max="7673" width="21.7109375" style="88" customWidth="1"/>
    <col min="7674" max="7674" width="11.28515625" style="88" customWidth="1"/>
    <col min="7675" max="7675" width="9.7109375" style="88" customWidth="1"/>
    <col min="7676" max="7677" width="11.42578125" style="88" customWidth="1"/>
    <col min="7678" max="7678" width="18.28515625" style="88" customWidth="1"/>
    <col min="7679" max="7679" width="17.7109375" style="88" customWidth="1"/>
    <col min="7680" max="7680" width="17.28515625" style="88" customWidth="1"/>
    <col min="7681" max="7681" width="17.42578125" style="88" customWidth="1"/>
    <col min="7682" max="7682" width="12.42578125" style="88" customWidth="1"/>
    <col min="7683" max="7683" width="19.7109375" style="88" customWidth="1"/>
    <col min="7684" max="7684" width="16.28515625" style="88" customWidth="1"/>
    <col min="7685" max="7925" width="9.140625" style="88"/>
    <col min="7926" max="7926" width="6.28515625" style="88" customWidth="1"/>
    <col min="7927" max="7927" width="37.28515625" style="88" customWidth="1"/>
    <col min="7928" max="7929" width="21.7109375" style="88" customWidth="1"/>
    <col min="7930" max="7930" width="11.28515625" style="88" customWidth="1"/>
    <col min="7931" max="7931" width="9.7109375" style="88" customWidth="1"/>
    <col min="7932" max="7933" width="11.42578125" style="88" customWidth="1"/>
    <col min="7934" max="7934" width="18.28515625" style="88" customWidth="1"/>
    <col min="7935" max="7935" width="17.7109375" style="88" customWidth="1"/>
    <col min="7936" max="7936" width="17.28515625" style="88" customWidth="1"/>
    <col min="7937" max="7937" width="17.42578125" style="88" customWidth="1"/>
    <col min="7938" max="7938" width="12.42578125" style="88" customWidth="1"/>
    <col min="7939" max="7939" width="19.7109375" style="88" customWidth="1"/>
    <col min="7940" max="7940" width="16.28515625" style="88" customWidth="1"/>
    <col min="7941" max="8181" width="9.140625" style="88"/>
    <col min="8182" max="8182" width="6.28515625" style="88" customWidth="1"/>
    <col min="8183" max="8183" width="37.28515625" style="88" customWidth="1"/>
    <col min="8184" max="8185" width="21.7109375" style="88" customWidth="1"/>
    <col min="8186" max="8186" width="11.28515625" style="88" customWidth="1"/>
    <col min="8187" max="8187" width="9.7109375" style="88" customWidth="1"/>
    <col min="8188" max="8189" width="11.42578125" style="88" customWidth="1"/>
    <col min="8190" max="8190" width="18.28515625" style="88" customWidth="1"/>
    <col min="8191" max="8191" width="17.7109375" style="88" customWidth="1"/>
    <col min="8192" max="8192" width="17.28515625" style="88" customWidth="1"/>
    <col min="8193" max="8193" width="17.42578125" style="88" customWidth="1"/>
    <col min="8194" max="8194" width="12.42578125" style="88" customWidth="1"/>
    <col min="8195" max="8195" width="19.7109375" style="88" customWidth="1"/>
    <col min="8196" max="8196" width="16.28515625" style="88" customWidth="1"/>
    <col min="8197" max="8437" width="9.140625" style="88"/>
    <col min="8438" max="8438" width="6.28515625" style="88" customWidth="1"/>
    <col min="8439" max="8439" width="37.28515625" style="88" customWidth="1"/>
    <col min="8440" max="8441" width="21.7109375" style="88" customWidth="1"/>
    <col min="8442" max="8442" width="11.28515625" style="88" customWidth="1"/>
    <col min="8443" max="8443" width="9.7109375" style="88" customWidth="1"/>
    <col min="8444" max="8445" width="11.42578125" style="88" customWidth="1"/>
    <col min="8446" max="8446" width="18.28515625" style="88" customWidth="1"/>
    <col min="8447" max="8447" width="17.7109375" style="88" customWidth="1"/>
    <col min="8448" max="8448" width="17.28515625" style="88" customWidth="1"/>
    <col min="8449" max="8449" width="17.42578125" style="88" customWidth="1"/>
    <col min="8450" max="8450" width="12.42578125" style="88" customWidth="1"/>
    <col min="8451" max="8451" width="19.7109375" style="88" customWidth="1"/>
    <col min="8452" max="8452" width="16.28515625" style="88" customWidth="1"/>
    <col min="8453" max="8693" width="9.140625" style="88"/>
    <col min="8694" max="8694" width="6.28515625" style="88" customWidth="1"/>
    <col min="8695" max="8695" width="37.28515625" style="88" customWidth="1"/>
    <col min="8696" max="8697" width="21.7109375" style="88" customWidth="1"/>
    <col min="8698" max="8698" width="11.28515625" style="88" customWidth="1"/>
    <col min="8699" max="8699" width="9.7109375" style="88" customWidth="1"/>
    <col min="8700" max="8701" width="11.42578125" style="88" customWidth="1"/>
    <col min="8702" max="8702" width="18.28515625" style="88" customWidth="1"/>
    <col min="8703" max="8703" width="17.7109375" style="88" customWidth="1"/>
    <col min="8704" max="8704" width="17.28515625" style="88" customWidth="1"/>
    <col min="8705" max="8705" width="17.42578125" style="88" customWidth="1"/>
    <col min="8706" max="8706" width="12.42578125" style="88" customWidth="1"/>
    <col min="8707" max="8707" width="19.7109375" style="88" customWidth="1"/>
    <col min="8708" max="8708" width="16.28515625" style="88" customWidth="1"/>
    <col min="8709" max="8949" width="9.140625" style="88"/>
    <col min="8950" max="8950" width="6.28515625" style="88" customWidth="1"/>
    <col min="8951" max="8951" width="37.28515625" style="88" customWidth="1"/>
    <col min="8952" max="8953" width="21.7109375" style="88" customWidth="1"/>
    <col min="8954" max="8954" width="11.28515625" style="88" customWidth="1"/>
    <col min="8955" max="8955" width="9.7109375" style="88" customWidth="1"/>
    <col min="8956" max="8957" width="11.42578125" style="88" customWidth="1"/>
    <col min="8958" max="8958" width="18.28515625" style="88" customWidth="1"/>
    <col min="8959" max="8959" width="17.7109375" style="88" customWidth="1"/>
    <col min="8960" max="8960" width="17.28515625" style="88" customWidth="1"/>
    <col min="8961" max="8961" width="17.42578125" style="88" customWidth="1"/>
    <col min="8962" max="8962" width="12.42578125" style="88" customWidth="1"/>
    <col min="8963" max="8963" width="19.7109375" style="88" customWidth="1"/>
    <col min="8964" max="8964" width="16.28515625" style="88" customWidth="1"/>
    <col min="8965" max="9205" width="9.140625" style="88"/>
    <col min="9206" max="9206" width="6.28515625" style="88" customWidth="1"/>
    <col min="9207" max="9207" width="37.28515625" style="88" customWidth="1"/>
    <col min="9208" max="9209" width="21.7109375" style="88" customWidth="1"/>
    <col min="9210" max="9210" width="11.28515625" style="88" customWidth="1"/>
    <col min="9211" max="9211" width="9.7109375" style="88" customWidth="1"/>
    <col min="9212" max="9213" width="11.42578125" style="88" customWidth="1"/>
    <col min="9214" max="9214" width="18.28515625" style="88" customWidth="1"/>
    <col min="9215" max="9215" width="17.7109375" style="88" customWidth="1"/>
    <col min="9216" max="9216" width="17.28515625" style="88" customWidth="1"/>
    <col min="9217" max="9217" width="17.42578125" style="88" customWidth="1"/>
    <col min="9218" max="9218" width="12.42578125" style="88" customWidth="1"/>
    <col min="9219" max="9219" width="19.7109375" style="88" customWidth="1"/>
    <col min="9220" max="9220" width="16.28515625" style="88" customWidth="1"/>
    <col min="9221" max="9461" width="9.140625" style="88"/>
    <col min="9462" max="9462" width="6.28515625" style="88" customWidth="1"/>
    <col min="9463" max="9463" width="37.28515625" style="88" customWidth="1"/>
    <col min="9464" max="9465" width="21.7109375" style="88" customWidth="1"/>
    <col min="9466" max="9466" width="11.28515625" style="88" customWidth="1"/>
    <col min="9467" max="9467" width="9.7109375" style="88" customWidth="1"/>
    <col min="9468" max="9469" width="11.42578125" style="88" customWidth="1"/>
    <col min="9470" max="9470" width="18.28515625" style="88" customWidth="1"/>
    <col min="9471" max="9471" width="17.7109375" style="88" customWidth="1"/>
    <col min="9472" max="9472" width="17.28515625" style="88" customWidth="1"/>
    <col min="9473" max="9473" width="17.42578125" style="88" customWidth="1"/>
    <col min="9474" max="9474" width="12.42578125" style="88" customWidth="1"/>
    <col min="9475" max="9475" width="19.7109375" style="88" customWidth="1"/>
    <col min="9476" max="9476" width="16.28515625" style="88" customWidth="1"/>
    <col min="9477" max="9717" width="9.140625" style="88"/>
    <col min="9718" max="9718" width="6.28515625" style="88" customWidth="1"/>
    <col min="9719" max="9719" width="37.28515625" style="88" customWidth="1"/>
    <col min="9720" max="9721" width="21.7109375" style="88" customWidth="1"/>
    <col min="9722" max="9722" width="11.28515625" style="88" customWidth="1"/>
    <col min="9723" max="9723" width="9.7109375" style="88" customWidth="1"/>
    <col min="9724" max="9725" width="11.42578125" style="88" customWidth="1"/>
    <col min="9726" max="9726" width="18.28515625" style="88" customWidth="1"/>
    <col min="9727" max="9727" width="17.7109375" style="88" customWidth="1"/>
    <col min="9728" max="9728" width="17.28515625" style="88" customWidth="1"/>
    <col min="9729" max="9729" width="17.42578125" style="88" customWidth="1"/>
    <col min="9730" max="9730" width="12.42578125" style="88" customWidth="1"/>
    <col min="9731" max="9731" width="19.7109375" style="88" customWidth="1"/>
    <col min="9732" max="9732" width="16.28515625" style="88" customWidth="1"/>
    <col min="9733" max="9973" width="9.140625" style="88"/>
    <col min="9974" max="9974" width="6.28515625" style="88" customWidth="1"/>
    <col min="9975" max="9975" width="37.28515625" style="88" customWidth="1"/>
    <col min="9976" max="9977" width="21.7109375" style="88" customWidth="1"/>
    <col min="9978" max="9978" width="11.28515625" style="88" customWidth="1"/>
    <col min="9979" max="9979" width="9.7109375" style="88" customWidth="1"/>
    <col min="9980" max="9981" width="11.42578125" style="88" customWidth="1"/>
    <col min="9982" max="9982" width="18.28515625" style="88" customWidth="1"/>
    <col min="9983" max="9983" width="17.7109375" style="88" customWidth="1"/>
    <col min="9984" max="9984" width="17.28515625" style="88" customWidth="1"/>
    <col min="9985" max="9985" width="17.42578125" style="88" customWidth="1"/>
    <col min="9986" max="9986" width="12.42578125" style="88" customWidth="1"/>
    <col min="9987" max="9987" width="19.7109375" style="88" customWidth="1"/>
    <col min="9988" max="9988" width="16.28515625" style="88" customWidth="1"/>
    <col min="9989" max="10229" width="9.140625" style="88"/>
    <col min="10230" max="10230" width="6.28515625" style="88" customWidth="1"/>
    <col min="10231" max="10231" width="37.28515625" style="88" customWidth="1"/>
    <col min="10232" max="10233" width="21.7109375" style="88" customWidth="1"/>
    <col min="10234" max="10234" width="11.28515625" style="88" customWidth="1"/>
    <col min="10235" max="10235" width="9.7109375" style="88" customWidth="1"/>
    <col min="10236" max="10237" width="11.42578125" style="88" customWidth="1"/>
    <col min="10238" max="10238" width="18.28515625" style="88" customWidth="1"/>
    <col min="10239" max="10239" width="17.7109375" style="88" customWidth="1"/>
    <col min="10240" max="10240" width="17.28515625" style="88" customWidth="1"/>
    <col min="10241" max="10241" width="17.42578125" style="88" customWidth="1"/>
    <col min="10242" max="10242" width="12.42578125" style="88" customWidth="1"/>
    <col min="10243" max="10243" width="19.7109375" style="88" customWidth="1"/>
    <col min="10244" max="10244" width="16.28515625" style="88" customWidth="1"/>
    <col min="10245" max="10485" width="9.140625" style="88"/>
    <col min="10486" max="10486" width="6.28515625" style="88" customWidth="1"/>
    <col min="10487" max="10487" width="37.28515625" style="88" customWidth="1"/>
    <col min="10488" max="10489" width="21.7109375" style="88" customWidth="1"/>
    <col min="10490" max="10490" width="11.28515625" style="88" customWidth="1"/>
    <col min="10491" max="10491" width="9.7109375" style="88" customWidth="1"/>
    <col min="10492" max="10493" width="11.42578125" style="88" customWidth="1"/>
    <col min="10494" max="10494" width="18.28515625" style="88" customWidth="1"/>
    <col min="10495" max="10495" width="17.7109375" style="88" customWidth="1"/>
    <col min="10496" max="10496" width="17.28515625" style="88" customWidth="1"/>
    <col min="10497" max="10497" width="17.42578125" style="88" customWidth="1"/>
    <col min="10498" max="10498" width="12.42578125" style="88" customWidth="1"/>
    <col min="10499" max="10499" width="19.7109375" style="88" customWidth="1"/>
    <col min="10500" max="10500" width="16.28515625" style="88" customWidth="1"/>
    <col min="10501" max="10741" width="9.140625" style="88"/>
    <col min="10742" max="10742" width="6.28515625" style="88" customWidth="1"/>
    <col min="10743" max="10743" width="37.28515625" style="88" customWidth="1"/>
    <col min="10744" max="10745" width="21.7109375" style="88" customWidth="1"/>
    <col min="10746" max="10746" width="11.28515625" style="88" customWidth="1"/>
    <col min="10747" max="10747" width="9.7109375" style="88" customWidth="1"/>
    <col min="10748" max="10749" width="11.42578125" style="88" customWidth="1"/>
    <col min="10750" max="10750" width="18.28515625" style="88" customWidth="1"/>
    <col min="10751" max="10751" width="17.7109375" style="88" customWidth="1"/>
    <col min="10752" max="10752" width="17.28515625" style="88" customWidth="1"/>
    <col min="10753" max="10753" width="17.42578125" style="88" customWidth="1"/>
    <col min="10754" max="10754" width="12.42578125" style="88" customWidth="1"/>
    <col min="10755" max="10755" width="19.7109375" style="88" customWidth="1"/>
    <col min="10756" max="10756" width="16.28515625" style="88" customWidth="1"/>
    <col min="10757" max="10997" width="9.140625" style="88"/>
    <col min="10998" max="10998" width="6.28515625" style="88" customWidth="1"/>
    <col min="10999" max="10999" width="37.28515625" style="88" customWidth="1"/>
    <col min="11000" max="11001" width="21.7109375" style="88" customWidth="1"/>
    <col min="11002" max="11002" width="11.28515625" style="88" customWidth="1"/>
    <col min="11003" max="11003" width="9.7109375" style="88" customWidth="1"/>
    <col min="11004" max="11005" width="11.42578125" style="88" customWidth="1"/>
    <col min="11006" max="11006" width="18.28515625" style="88" customWidth="1"/>
    <col min="11007" max="11007" width="17.7109375" style="88" customWidth="1"/>
    <col min="11008" max="11008" width="17.28515625" style="88" customWidth="1"/>
    <col min="11009" max="11009" width="17.42578125" style="88" customWidth="1"/>
    <col min="11010" max="11010" width="12.42578125" style="88" customWidth="1"/>
    <col min="11011" max="11011" width="19.7109375" style="88" customWidth="1"/>
    <col min="11012" max="11012" width="16.28515625" style="88" customWidth="1"/>
    <col min="11013" max="11253" width="9.140625" style="88"/>
    <col min="11254" max="11254" width="6.28515625" style="88" customWidth="1"/>
    <col min="11255" max="11255" width="37.28515625" style="88" customWidth="1"/>
    <col min="11256" max="11257" width="21.7109375" style="88" customWidth="1"/>
    <col min="11258" max="11258" width="11.28515625" style="88" customWidth="1"/>
    <col min="11259" max="11259" width="9.7109375" style="88" customWidth="1"/>
    <col min="11260" max="11261" width="11.42578125" style="88" customWidth="1"/>
    <col min="11262" max="11262" width="18.28515625" style="88" customWidth="1"/>
    <col min="11263" max="11263" width="17.7109375" style="88" customWidth="1"/>
    <col min="11264" max="11264" width="17.28515625" style="88" customWidth="1"/>
    <col min="11265" max="11265" width="17.42578125" style="88" customWidth="1"/>
    <col min="11266" max="11266" width="12.42578125" style="88" customWidth="1"/>
    <col min="11267" max="11267" width="19.7109375" style="88" customWidth="1"/>
    <col min="11268" max="11268" width="16.28515625" style="88" customWidth="1"/>
    <col min="11269" max="11509" width="9.140625" style="88"/>
    <col min="11510" max="11510" width="6.28515625" style="88" customWidth="1"/>
    <col min="11511" max="11511" width="37.28515625" style="88" customWidth="1"/>
    <col min="11512" max="11513" width="21.7109375" style="88" customWidth="1"/>
    <col min="11514" max="11514" width="11.28515625" style="88" customWidth="1"/>
    <col min="11515" max="11515" width="9.7109375" style="88" customWidth="1"/>
    <col min="11516" max="11517" width="11.42578125" style="88" customWidth="1"/>
    <col min="11518" max="11518" width="18.28515625" style="88" customWidth="1"/>
    <col min="11519" max="11519" width="17.7109375" style="88" customWidth="1"/>
    <col min="11520" max="11520" width="17.28515625" style="88" customWidth="1"/>
    <col min="11521" max="11521" width="17.42578125" style="88" customWidth="1"/>
    <col min="11522" max="11522" width="12.42578125" style="88" customWidth="1"/>
    <col min="11523" max="11523" width="19.7109375" style="88" customWidth="1"/>
    <col min="11524" max="11524" width="16.28515625" style="88" customWidth="1"/>
    <col min="11525" max="11765" width="9.140625" style="88"/>
    <col min="11766" max="11766" width="6.28515625" style="88" customWidth="1"/>
    <col min="11767" max="11767" width="37.28515625" style="88" customWidth="1"/>
    <col min="11768" max="11769" width="21.7109375" style="88" customWidth="1"/>
    <col min="11770" max="11770" width="11.28515625" style="88" customWidth="1"/>
    <col min="11771" max="11771" width="9.7109375" style="88" customWidth="1"/>
    <col min="11772" max="11773" width="11.42578125" style="88" customWidth="1"/>
    <col min="11774" max="11774" width="18.28515625" style="88" customWidth="1"/>
    <col min="11775" max="11775" width="17.7109375" style="88" customWidth="1"/>
    <col min="11776" max="11776" width="17.28515625" style="88" customWidth="1"/>
    <col min="11777" max="11777" width="17.42578125" style="88" customWidth="1"/>
    <col min="11778" max="11778" width="12.42578125" style="88" customWidth="1"/>
    <col min="11779" max="11779" width="19.7109375" style="88" customWidth="1"/>
    <col min="11780" max="11780" width="16.28515625" style="88" customWidth="1"/>
    <col min="11781" max="12021" width="9.140625" style="88"/>
    <col min="12022" max="12022" width="6.28515625" style="88" customWidth="1"/>
    <col min="12023" max="12023" width="37.28515625" style="88" customWidth="1"/>
    <col min="12024" max="12025" width="21.7109375" style="88" customWidth="1"/>
    <col min="12026" max="12026" width="11.28515625" style="88" customWidth="1"/>
    <col min="12027" max="12027" width="9.7109375" style="88" customWidth="1"/>
    <col min="12028" max="12029" width="11.42578125" style="88" customWidth="1"/>
    <col min="12030" max="12030" width="18.28515625" style="88" customWidth="1"/>
    <col min="12031" max="12031" width="17.7109375" style="88" customWidth="1"/>
    <col min="12032" max="12032" width="17.28515625" style="88" customWidth="1"/>
    <col min="12033" max="12033" width="17.42578125" style="88" customWidth="1"/>
    <col min="12034" max="12034" width="12.42578125" style="88" customWidth="1"/>
    <col min="12035" max="12035" width="19.7109375" style="88" customWidth="1"/>
    <col min="12036" max="12036" width="16.28515625" style="88" customWidth="1"/>
    <col min="12037" max="12277" width="9.140625" style="88"/>
    <col min="12278" max="12278" width="6.28515625" style="88" customWidth="1"/>
    <col min="12279" max="12279" width="37.28515625" style="88" customWidth="1"/>
    <col min="12280" max="12281" width="21.7109375" style="88" customWidth="1"/>
    <col min="12282" max="12282" width="11.28515625" style="88" customWidth="1"/>
    <col min="12283" max="12283" width="9.7109375" style="88" customWidth="1"/>
    <col min="12284" max="12285" width="11.42578125" style="88" customWidth="1"/>
    <col min="12286" max="12286" width="18.28515625" style="88" customWidth="1"/>
    <col min="12287" max="12287" width="17.7109375" style="88" customWidth="1"/>
    <col min="12288" max="12288" width="17.28515625" style="88" customWidth="1"/>
    <col min="12289" max="12289" width="17.42578125" style="88" customWidth="1"/>
    <col min="12290" max="12290" width="12.42578125" style="88" customWidth="1"/>
    <col min="12291" max="12291" width="19.7109375" style="88" customWidth="1"/>
    <col min="12292" max="12292" width="16.28515625" style="88" customWidth="1"/>
    <col min="12293" max="12533" width="9.140625" style="88"/>
    <col min="12534" max="12534" width="6.28515625" style="88" customWidth="1"/>
    <col min="12535" max="12535" width="37.28515625" style="88" customWidth="1"/>
    <col min="12536" max="12537" width="21.7109375" style="88" customWidth="1"/>
    <col min="12538" max="12538" width="11.28515625" style="88" customWidth="1"/>
    <col min="12539" max="12539" width="9.7109375" style="88" customWidth="1"/>
    <col min="12540" max="12541" width="11.42578125" style="88" customWidth="1"/>
    <col min="12542" max="12542" width="18.28515625" style="88" customWidth="1"/>
    <col min="12543" max="12543" width="17.7109375" style="88" customWidth="1"/>
    <col min="12544" max="12544" width="17.28515625" style="88" customWidth="1"/>
    <col min="12545" max="12545" width="17.42578125" style="88" customWidth="1"/>
    <col min="12546" max="12546" width="12.42578125" style="88" customWidth="1"/>
    <col min="12547" max="12547" width="19.7109375" style="88" customWidth="1"/>
    <col min="12548" max="12548" width="16.28515625" style="88" customWidth="1"/>
    <col min="12549" max="12789" width="9.140625" style="88"/>
    <col min="12790" max="12790" width="6.28515625" style="88" customWidth="1"/>
    <col min="12791" max="12791" width="37.28515625" style="88" customWidth="1"/>
    <col min="12792" max="12793" width="21.7109375" style="88" customWidth="1"/>
    <col min="12794" max="12794" width="11.28515625" style="88" customWidth="1"/>
    <col min="12795" max="12795" width="9.7109375" style="88" customWidth="1"/>
    <col min="12796" max="12797" width="11.42578125" style="88" customWidth="1"/>
    <col min="12798" max="12798" width="18.28515625" style="88" customWidth="1"/>
    <col min="12799" max="12799" width="17.7109375" style="88" customWidth="1"/>
    <col min="12800" max="12800" width="17.28515625" style="88" customWidth="1"/>
    <col min="12801" max="12801" width="17.42578125" style="88" customWidth="1"/>
    <col min="12802" max="12802" width="12.42578125" style="88" customWidth="1"/>
    <col min="12803" max="12803" width="19.7109375" style="88" customWidth="1"/>
    <col min="12804" max="12804" width="16.28515625" style="88" customWidth="1"/>
    <col min="12805" max="13045" width="9.140625" style="88"/>
    <col min="13046" max="13046" width="6.28515625" style="88" customWidth="1"/>
    <col min="13047" max="13047" width="37.28515625" style="88" customWidth="1"/>
    <col min="13048" max="13049" width="21.7109375" style="88" customWidth="1"/>
    <col min="13050" max="13050" width="11.28515625" style="88" customWidth="1"/>
    <col min="13051" max="13051" width="9.7109375" style="88" customWidth="1"/>
    <col min="13052" max="13053" width="11.42578125" style="88" customWidth="1"/>
    <col min="13054" max="13054" width="18.28515625" style="88" customWidth="1"/>
    <col min="13055" max="13055" width="17.7109375" style="88" customWidth="1"/>
    <col min="13056" max="13056" width="17.28515625" style="88" customWidth="1"/>
    <col min="13057" max="13057" width="17.42578125" style="88" customWidth="1"/>
    <col min="13058" max="13058" width="12.42578125" style="88" customWidth="1"/>
    <col min="13059" max="13059" width="19.7109375" style="88" customWidth="1"/>
    <col min="13060" max="13060" width="16.28515625" style="88" customWidth="1"/>
    <col min="13061" max="13301" width="9.140625" style="88"/>
    <col min="13302" max="13302" width="6.28515625" style="88" customWidth="1"/>
    <col min="13303" max="13303" width="37.28515625" style="88" customWidth="1"/>
    <col min="13304" max="13305" width="21.7109375" style="88" customWidth="1"/>
    <col min="13306" max="13306" width="11.28515625" style="88" customWidth="1"/>
    <col min="13307" max="13307" width="9.7109375" style="88" customWidth="1"/>
    <col min="13308" max="13309" width="11.42578125" style="88" customWidth="1"/>
    <col min="13310" max="13310" width="18.28515625" style="88" customWidth="1"/>
    <col min="13311" max="13311" width="17.7109375" style="88" customWidth="1"/>
    <col min="13312" max="13312" width="17.28515625" style="88" customWidth="1"/>
    <col min="13313" max="13313" width="17.42578125" style="88" customWidth="1"/>
    <col min="13314" max="13314" width="12.42578125" style="88" customWidth="1"/>
    <col min="13315" max="13315" width="19.7109375" style="88" customWidth="1"/>
    <col min="13316" max="13316" width="16.28515625" style="88" customWidth="1"/>
    <col min="13317" max="13557" width="9.140625" style="88"/>
    <col min="13558" max="13558" width="6.28515625" style="88" customWidth="1"/>
    <col min="13559" max="13559" width="37.28515625" style="88" customWidth="1"/>
    <col min="13560" max="13561" width="21.7109375" style="88" customWidth="1"/>
    <col min="13562" max="13562" width="11.28515625" style="88" customWidth="1"/>
    <col min="13563" max="13563" width="9.7109375" style="88" customWidth="1"/>
    <col min="13564" max="13565" width="11.42578125" style="88" customWidth="1"/>
    <col min="13566" max="13566" width="18.28515625" style="88" customWidth="1"/>
    <col min="13567" max="13567" width="17.7109375" style="88" customWidth="1"/>
    <col min="13568" max="13568" width="17.28515625" style="88" customWidth="1"/>
    <col min="13569" max="13569" width="17.42578125" style="88" customWidth="1"/>
    <col min="13570" max="13570" width="12.42578125" style="88" customWidth="1"/>
    <col min="13571" max="13571" width="19.7109375" style="88" customWidth="1"/>
    <col min="13572" max="13572" width="16.28515625" style="88" customWidth="1"/>
    <col min="13573" max="13813" width="9.140625" style="88"/>
    <col min="13814" max="13814" width="6.28515625" style="88" customWidth="1"/>
    <col min="13815" max="13815" width="37.28515625" style="88" customWidth="1"/>
    <col min="13816" max="13817" width="21.7109375" style="88" customWidth="1"/>
    <col min="13818" max="13818" width="11.28515625" style="88" customWidth="1"/>
    <col min="13819" max="13819" width="9.7109375" style="88" customWidth="1"/>
    <col min="13820" max="13821" width="11.42578125" style="88" customWidth="1"/>
    <col min="13822" max="13822" width="18.28515625" style="88" customWidth="1"/>
    <col min="13823" max="13823" width="17.7109375" style="88" customWidth="1"/>
    <col min="13824" max="13824" width="17.28515625" style="88" customWidth="1"/>
    <col min="13825" max="13825" width="17.42578125" style="88" customWidth="1"/>
    <col min="13826" max="13826" width="12.42578125" style="88" customWidth="1"/>
    <col min="13827" max="13827" width="19.7109375" style="88" customWidth="1"/>
    <col min="13828" max="13828" width="16.28515625" style="88" customWidth="1"/>
    <col min="13829" max="14069" width="9.140625" style="88"/>
    <col min="14070" max="14070" width="6.28515625" style="88" customWidth="1"/>
    <col min="14071" max="14071" width="37.28515625" style="88" customWidth="1"/>
    <col min="14072" max="14073" width="21.7109375" style="88" customWidth="1"/>
    <col min="14074" max="14074" width="11.28515625" style="88" customWidth="1"/>
    <col min="14075" max="14075" width="9.7109375" style="88" customWidth="1"/>
    <col min="14076" max="14077" width="11.42578125" style="88" customWidth="1"/>
    <col min="14078" max="14078" width="18.28515625" style="88" customWidth="1"/>
    <col min="14079" max="14079" width="17.7109375" style="88" customWidth="1"/>
    <col min="14080" max="14080" width="17.28515625" style="88" customWidth="1"/>
    <col min="14081" max="14081" width="17.42578125" style="88" customWidth="1"/>
    <col min="14082" max="14082" width="12.42578125" style="88" customWidth="1"/>
    <col min="14083" max="14083" width="19.7109375" style="88" customWidth="1"/>
    <col min="14084" max="14084" width="16.28515625" style="88" customWidth="1"/>
    <col min="14085" max="14325" width="9.140625" style="88"/>
    <col min="14326" max="14326" width="6.28515625" style="88" customWidth="1"/>
    <col min="14327" max="14327" width="37.28515625" style="88" customWidth="1"/>
    <col min="14328" max="14329" width="21.7109375" style="88" customWidth="1"/>
    <col min="14330" max="14330" width="11.28515625" style="88" customWidth="1"/>
    <col min="14331" max="14331" width="9.7109375" style="88" customWidth="1"/>
    <col min="14332" max="14333" width="11.42578125" style="88" customWidth="1"/>
    <col min="14334" max="14334" width="18.28515625" style="88" customWidth="1"/>
    <col min="14335" max="14335" width="17.7109375" style="88" customWidth="1"/>
    <col min="14336" max="14336" width="17.28515625" style="88" customWidth="1"/>
    <col min="14337" max="14337" width="17.42578125" style="88" customWidth="1"/>
    <col min="14338" max="14338" width="12.42578125" style="88" customWidth="1"/>
    <col min="14339" max="14339" width="19.7109375" style="88" customWidth="1"/>
    <col min="14340" max="14340" width="16.28515625" style="88" customWidth="1"/>
    <col min="14341" max="14581" width="9.140625" style="88"/>
    <col min="14582" max="14582" width="6.28515625" style="88" customWidth="1"/>
    <col min="14583" max="14583" width="37.28515625" style="88" customWidth="1"/>
    <col min="14584" max="14585" width="21.7109375" style="88" customWidth="1"/>
    <col min="14586" max="14586" width="11.28515625" style="88" customWidth="1"/>
    <col min="14587" max="14587" width="9.7109375" style="88" customWidth="1"/>
    <col min="14588" max="14589" width="11.42578125" style="88" customWidth="1"/>
    <col min="14590" max="14590" width="18.28515625" style="88" customWidth="1"/>
    <col min="14591" max="14591" width="17.7109375" style="88" customWidth="1"/>
    <col min="14592" max="14592" width="17.28515625" style="88" customWidth="1"/>
    <col min="14593" max="14593" width="17.42578125" style="88" customWidth="1"/>
    <col min="14594" max="14594" width="12.42578125" style="88" customWidth="1"/>
    <col min="14595" max="14595" width="19.7109375" style="88" customWidth="1"/>
    <col min="14596" max="14596" width="16.28515625" style="88" customWidth="1"/>
    <col min="14597" max="14837" width="9.140625" style="88"/>
    <col min="14838" max="14838" width="6.28515625" style="88" customWidth="1"/>
    <col min="14839" max="14839" width="37.28515625" style="88" customWidth="1"/>
    <col min="14840" max="14841" width="21.7109375" style="88" customWidth="1"/>
    <col min="14842" max="14842" width="11.28515625" style="88" customWidth="1"/>
    <col min="14843" max="14843" width="9.7109375" style="88" customWidth="1"/>
    <col min="14844" max="14845" width="11.42578125" style="88" customWidth="1"/>
    <col min="14846" max="14846" width="18.28515625" style="88" customWidth="1"/>
    <col min="14847" max="14847" width="17.7109375" style="88" customWidth="1"/>
    <col min="14848" max="14848" width="17.28515625" style="88" customWidth="1"/>
    <col min="14849" max="14849" width="17.42578125" style="88" customWidth="1"/>
    <col min="14850" max="14850" width="12.42578125" style="88" customWidth="1"/>
    <col min="14851" max="14851" width="19.7109375" style="88" customWidth="1"/>
    <col min="14852" max="14852" width="16.28515625" style="88" customWidth="1"/>
    <col min="14853" max="15093" width="9.140625" style="88"/>
    <col min="15094" max="15094" width="6.28515625" style="88" customWidth="1"/>
    <col min="15095" max="15095" width="37.28515625" style="88" customWidth="1"/>
    <col min="15096" max="15097" width="21.7109375" style="88" customWidth="1"/>
    <col min="15098" max="15098" width="11.28515625" style="88" customWidth="1"/>
    <col min="15099" max="15099" width="9.7109375" style="88" customWidth="1"/>
    <col min="15100" max="15101" width="11.42578125" style="88" customWidth="1"/>
    <col min="15102" max="15102" width="18.28515625" style="88" customWidth="1"/>
    <col min="15103" max="15103" width="17.7109375" style="88" customWidth="1"/>
    <col min="15104" max="15104" width="17.28515625" style="88" customWidth="1"/>
    <col min="15105" max="15105" width="17.42578125" style="88" customWidth="1"/>
    <col min="15106" max="15106" width="12.42578125" style="88" customWidth="1"/>
    <col min="15107" max="15107" width="19.7109375" style="88" customWidth="1"/>
    <col min="15108" max="15108" width="16.28515625" style="88" customWidth="1"/>
    <col min="15109" max="15349" width="9.140625" style="88"/>
    <col min="15350" max="15350" width="6.28515625" style="88" customWidth="1"/>
    <col min="15351" max="15351" width="37.28515625" style="88" customWidth="1"/>
    <col min="15352" max="15353" width="21.7109375" style="88" customWidth="1"/>
    <col min="15354" max="15354" width="11.28515625" style="88" customWidth="1"/>
    <col min="15355" max="15355" width="9.7109375" style="88" customWidth="1"/>
    <col min="15356" max="15357" width="11.42578125" style="88" customWidth="1"/>
    <col min="15358" max="15358" width="18.28515625" style="88" customWidth="1"/>
    <col min="15359" max="15359" width="17.7109375" style="88" customWidth="1"/>
    <col min="15360" max="15360" width="17.28515625" style="88" customWidth="1"/>
    <col min="15361" max="15361" width="17.42578125" style="88" customWidth="1"/>
    <col min="15362" max="15362" width="12.42578125" style="88" customWidth="1"/>
    <col min="15363" max="15363" width="19.7109375" style="88" customWidth="1"/>
    <col min="15364" max="15364" width="16.28515625" style="88" customWidth="1"/>
    <col min="15365" max="15605" width="9.140625" style="88"/>
    <col min="15606" max="15606" width="6.28515625" style="88" customWidth="1"/>
    <col min="15607" max="15607" width="37.28515625" style="88" customWidth="1"/>
    <col min="15608" max="15609" width="21.7109375" style="88" customWidth="1"/>
    <col min="15610" max="15610" width="11.28515625" style="88" customWidth="1"/>
    <col min="15611" max="15611" width="9.7109375" style="88" customWidth="1"/>
    <col min="15612" max="15613" width="11.42578125" style="88" customWidth="1"/>
    <col min="15614" max="15614" width="18.28515625" style="88" customWidth="1"/>
    <col min="15615" max="15615" width="17.7109375" style="88" customWidth="1"/>
    <col min="15616" max="15616" width="17.28515625" style="88" customWidth="1"/>
    <col min="15617" max="15617" width="17.42578125" style="88" customWidth="1"/>
    <col min="15618" max="15618" width="12.42578125" style="88" customWidth="1"/>
    <col min="15619" max="15619" width="19.7109375" style="88" customWidth="1"/>
    <col min="15620" max="15620" width="16.28515625" style="88" customWidth="1"/>
    <col min="15621" max="15861" width="9.140625" style="88"/>
    <col min="15862" max="15862" width="6.28515625" style="88" customWidth="1"/>
    <col min="15863" max="15863" width="37.28515625" style="88" customWidth="1"/>
    <col min="15864" max="15865" width="21.7109375" style="88" customWidth="1"/>
    <col min="15866" max="15866" width="11.28515625" style="88" customWidth="1"/>
    <col min="15867" max="15867" width="9.7109375" style="88" customWidth="1"/>
    <col min="15868" max="15869" width="11.42578125" style="88" customWidth="1"/>
    <col min="15870" max="15870" width="18.28515625" style="88" customWidth="1"/>
    <col min="15871" max="15871" width="17.7109375" style="88" customWidth="1"/>
    <col min="15872" max="15872" width="17.28515625" style="88" customWidth="1"/>
    <col min="15873" max="15873" width="17.42578125" style="88" customWidth="1"/>
    <col min="15874" max="15874" width="12.42578125" style="88" customWidth="1"/>
    <col min="15875" max="15875" width="19.7109375" style="88" customWidth="1"/>
    <col min="15876" max="15876" width="16.28515625" style="88" customWidth="1"/>
    <col min="15877" max="16117" width="9.140625" style="88"/>
    <col min="16118" max="16118" width="6.28515625" style="88" customWidth="1"/>
    <col min="16119" max="16119" width="37.28515625" style="88" customWidth="1"/>
    <col min="16120" max="16121" width="21.7109375" style="88" customWidth="1"/>
    <col min="16122" max="16122" width="11.28515625" style="88" customWidth="1"/>
    <col min="16123" max="16123" width="9.7109375" style="88" customWidth="1"/>
    <col min="16124" max="16125" width="11.42578125" style="88" customWidth="1"/>
    <col min="16126" max="16126" width="18.28515625" style="88" customWidth="1"/>
    <col min="16127" max="16127" width="17.7109375" style="88" customWidth="1"/>
    <col min="16128" max="16128" width="17.28515625" style="88" customWidth="1"/>
    <col min="16129" max="16129" width="17.42578125" style="88" customWidth="1"/>
    <col min="16130" max="16130" width="12.42578125" style="88" customWidth="1"/>
    <col min="16131" max="16131" width="19.7109375" style="88" customWidth="1"/>
    <col min="16132" max="16132" width="16.28515625" style="88" customWidth="1"/>
    <col min="16133" max="16377" width="9.140625" style="88"/>
    <col min="16378" max="16384" width="9" style="88" customWidth="1"/>
  </cols>
  <sheetData>
    <row r="1" spans="1:24" ht="23.25" customHeight="1" x14ac:dyDescent="0.25">
      <c r="A1" s="636"/>
    </row>
    <row r="2" spans="1:24" ht="36" customHeight="1" x14ac:dyDescent="0.25">
      <c r="A2" s="1089" t="s">
        <v>223</v>
      </c>
      <c r="B2" s="1090"/>
      <c r="C2" s="1090"/>
      <c r="D2" s="1090"/>
      <c r="E2" s="1090"/>
      <c r="F2" s="1090"/>
      <c r="G2" s="1090"/>
      <c r="H2" s="1090"/>
    </row>
    <row r="3" spans="1:24" ht="32.25" customHeight="1" x14ac:dyDescent="0.25">
      <c r="A3" s="1091" t="s">
        <v>473</v>
      </c>
      <c r="B3" s="1091"/>
      <c r="C3" s="1091"/>
      <c r="D3" s="1091"/>
      <c r="E3" s="1091"/>
      <c r="F3" s="1091"/>
      <c r="G3" s="1091"/>
      <c r="H3" s="1091"/>
    </row>
    <row r="4" spans="1:24" ht="61.5" customHeight="1" x14ac:dyDescent="0.25">
      <c r="A4" s="1094" t="s">
        <v>219</v>
      </c>
      <c r="B4" s="1095" t="s">
        <v>153</v>
      </c>
      <c r="C4" s="1075" t="s">
        <v>489</v>
      </c>
      <c r="D4" s="1076" t="s">
        <v>490</v>
      </c>
      <c r="E4" s="1076" t="s">
        <v>491</v>
      </c>
      <c r="F4" s="1067" t="s">
        <v>464</v>
      </c>
      <c r="G4" s="1068" t="s">
        <v>465</v>
      </c>
      <c r="H4" s="1068" t="s">
        <v>188</v>
      </c>
      <c r="I4" s="1129" t="s">
        <v>703</v>
      </c>
      <c r="J4" s="1130"/>
      <c r="K4" s="1131"/>
      <c r="L4" s="304"/>
      <c r="M4" s="304"/>
      <c r="N4" s="304"/>
      <c r="O4" s="304"/>
      <c r="P4" s="304"/>
      <c r="Q4" s="304"/>
    </row>
    <row r="5" spans="1:24" s="645" customFormat="1" ht="61.5" customHeight="1" x14ac:dyDescent="0.25">
      <c r="A5" s="1094"/>
      <c r="B5" s="1095"/>
      <c r="C5" s="1075"/>
      <c r="D5" s="1076"/>
      <c r="E5" s="1076"/>
      <c r="F5" s="1067"/>
      <c r="G5" s="1068"/>
      <c r="H5" s="1068"/>
      <c r="I5" s="1132"/>
      <c r="J5" s="1133"/>
      <c r="K5" s="1134"/>
      <c r="L5" s="304"/>
      <c r="M5" s="304"/>
      <c r="N5" s="304"/>
      <c r="O5" s="304"/>
      <c r="P5" s="304"/>
      <c r="Q5" s="304"/>
      <c r="R5" s="304"/>
      <c r="S5" s="304"/>
      <c r="T5" s="304"/>
      <c r="U5" s="304"/>
      <c r="V5" s="304"/>
      <c r="W5" s="304"/>
      <c r="X5" s="304"/>
    </row>
    <row r="6" spans="1:24" s="645" customFormat="1" ht="61.5" customHeight="1" x14ac:dyDescent="0.25">
      <c r="A6" s="1094"/>
      <c r="B6" s="1095"/>
      <c r="C6" s="1075"/>
      <c r="D6" s="1076"/>
      <c r="E6" s="1076"/>
      <c r="F6" s="1067"/>
      <c r="G6" s="1068"/>
      <c r="H6" s="1068"/>
      <c r="I6" s="745" t="s">
        <v>408</v>
      </c>
      <c r="J6" s="597" t="s">
        <v>409</v>
      </c>
      <c r="K6" s="597" t="s">
        <v>411</v>
      </c>
      <c r="L6" s="304"/>
      <c r="M6" s="304"/>
      <c r="N6" s="304"/>
      <c r="O6" s="304"/>
      <c r="P6" s="304"/>
      <c r="Q6" s="304"/>
      <c r="R6" s="304"/>
      <c r="S6" s="304"/>
      <c r="T6" s="304"/>
      <c r="U6" s="304"/>
      <c r="V6" s="304"/>
      <c r="W6" s="304"/>
      <c r="X6" s="304"/>
    </row>
    <row r="7" spans="1:24" ht="29.25" customHeight="1" x14ac:dyDescent="0.25">
      <c r="A7" s="675" t="s">
        <v>5</v>
      </c>
      <c r="B7" s="681" t="s">
        <v>499</v>
      </c>
      <c r="C7" s="714"/>
      <c r="D7" s="682"/>
      <c r="E7" s="683"/>
      <c r="F7" s="733"/>
      <c r="G7" s="684">
        <f>SUM(G8:G10)</f>
        <v>40</v>
      </c>
      <c r="H7" s="679">
        <f>SUM(H8:H10)</f>
        <v>19966000</v>
      </c>
      <c r="I7" s="750">
        <f>H7</f>
        <v>19966000</v>
      </c>
      <c r="J7" s="760"/>
      <c r="K7" s="680"/>
    </row>
    <row r="8" spans="1:24" ht="22.5" customHeight="1" x14ac:dyDescent="0.25">
      <c r="A8" s="1078">
        <v>1</v>
      </c>
      <c r="B8" s="1077" t="s">
        <v>382</v>
      </c>
      <c r="C8" s="668" t="s">
        <v>492</v>
      </c>
      <c r="D8" s="669">
        <v>1</v>
      </c>
      <c r="E8" s="670">
        <v>0.49</v>
      </c>
      <c r="F8" s="734">
        <v>1490000</v>
      </c>
      <c r="G8" s="671">
        <v>15</v>
      </c>
      <c r="H8" s="672">
        <f>E8*F8*G8</f>
        <v>10951500</v>
      </c>
      <c r="I8" s="751"/>
      <c r="J8" s="724"/>
      <c r="K8" s="674"/>
    </row>
    <row r="9" spans="1:24" ht="23.25" customHeight="1" x14ac:dyDescent="0.25">
      <c r="A9" s="1078"/>
      <c r="B9" s="1077"/>
      <c r="C9" s="668" t="s">
        <v>495</v>
      </c>
      <c r="D9" s="668">
        <v>1</v>
      </c>
      <c r="E9" s="670">
        <v>0.27</v>
      </c>
      <c r="F9" s="734">
        <v>1490000</v>
      </c>
      <c r="G9" s="671">
        <v>15</v>
      </c>
      <c r="H9" s="672">
        <f>E9*F9*G9</f>
        <v>6034500</v>
      </c>
      <c r="I9" s="751"/>
      <c r="J9" s="724"/>
      <c r="K9" s="673"/>
      <c r="L9" s="741"/>
    </row>
    <row r="10" spans="1:24" ht="36.75" customHeight="1" x14ac:dyDescent="0.25">
      <c r="A10" s="1078"/>
      <c r="B10" s="1077"/>
      <c r="C10" s="685" t="s">
        <v>494</v>
      </c>
      <c r="D10" s="685">
        <v>1</v>
      </c>
      <c r="E10" s="688">
        <v>0.2</v>
      </c>
      <c r="F10" s="735">
        <v>1490000</v>
      </c>
      <c r="G10" s="686">
        <v>10</v>
      </c>
      <c r="H10" s="686">
        <f>E10*F10*G10</f>
        <v>2980000</v>
      </c>
      <c r="I10" s="752"/>
      <c r="J10" s="761"/>
      <c r="K10" s="687"/>
      <c r="L10" s="741"/>
    </row>
    <row r="11" spans="1:24" ht="37.5" customHeight="1" x14ac:dyDescent="0.25">
      <c r="A11" s="675" t="s">
        <v>6</v>
      </c>
      <c r="B11" s="676" t="s">
        <v>59</v>
      </c>
      <c r="C11" s="715"/>
      <c r="D11" s="677"/>
      <c r="E11" s="678"/>
      <c r="F11" s="736"/>
      <c r="G11" s="684">
        <f>SUM(G12,G58,G68,G120,G208,G223,G230)</f>
        <v>2525</v>
      </c>
      <c r="H11" s="679">
        <f>SUM(H12,H58,H68,H120,H208,H223,H230)</f>
        <v>968500000</v>
      </c>
      <c r="I11" s="753">
        <f>I12+I58+I68</f>
        <v>369669000</v>
      </c>
      <c r="J11" s="743">
        <f>J68+J120+J208+J223+J230</f>
        <v>598831000</v>
      </c>
      <c r="K11" s="680"/>
      <c r="L11" s="741">
        <f>G11+G7</f>
        <v>2565</v>
      </c>
    </row>
    <row r="12" spans="1:24" ht="63" x14ac:dyDescent="0.25">
      <c r="A12" s="689">
        <v>1</v>
      </c>
      <c r="B12" s="690" t="s">
        <v>603</v>
      </c>
      <c r="C12" s="716"/>
      <c r="D12" s="673"/>
      <c r="E12" s="691"/>
      <c r="F12" s="672"/>
      <c r="G12" s="692">
        <f>G13+G26+G36</f>
        <v>450</v>
      </c>
      <c r="H12" s="692">
        <f>SUM(H13,H26,H36)</f>
        <v>153172000</v>
      </c>
      <c r="I12" s="754">
        <f>H12</f>
        <v>153172000</v>
      </c>
      <c r="J12" s="724"/>
      <c r="K12" s="674"/>
    </row>
    <row r="13" spans="1:24" ht="22.5" customHeight="1" x14ac:dyDescent="0.25">
      <c r="A13" s="1092" t="s">
        <v>44</v>
      </c>
      <c r="B13" s="1093" t="s">
        <v>667</v>
      </c>
      <c r="C13" s="1079"/>
      <c r="D13" s="1079"/>
      <c r="E13" s="1079"/>
      <c r="F13" s="1083"/>
      <c r="G13" s="1086">
        <f>SUM(G18,G19,G20,G21)</f>
        <v>140</v>
      </c>
      <c r="H13" s="1086">
        <f>SUM(H18,H19,H20,H21)</f>
        <v>41720000</v>
      </c>
      <c r="I13" s="1107">
        <f>H13</f>
        <v>41720000</v>
      </c>
      <c r="J13" s="1069"/>
      <c r="K13" s="1102"/>
      <c r="L13" s="741"/>
    </row>
    <row r="14" spans="1:24" x14ac:dyDescent="0.25">
      <c r="A14" s="1092"/>
      <c r="B14" s="1093"/>
      <c r="C14" s="1080"/>
      <c r="D14" s="1080"/>
      <c r="E14" s="1080"/>
      <c r="F14" s="1084"/>
      <c r="G14" s="1087"/>
      <c r="H14" s="1087"/>
      <c r="I14" s="1108"/>
      <c r="J14" s="1070"/>
      <c r="K14" s="1103"/>
    </row>
    <row r="15" spans="1:24" ht="0.75" customHeight="1" x14ac:dyDescent="0.25">
      <c r="A15" s="1092"/>
      <c r="B15" s="1093"/>
      <c r="C15" s="1080"/>
      <c r="D15" s="1080"/>
      <c r="E15" s="1080"/>
      <c r="F15" s="1084"/>
      <c r="G15" s="1087"/>
      <c r="H15" s="1087"/>
      <c r="I15" s="1108"/>
      <c r="J15" s="1070"/>
      <c r="K15" s="1103"/>
    </row>
    <row r="16" spans="1:24" ht="20.25" customHeight="1" x14ac:dyDescent="0.25">
      <c r="A16" s="1092"/>
      <c r="B16" s="1093"/>
      <c r="C16" s="1080"/>
      <c r="D16" s="1080"/>
      <c r="E16" s="1080"/>
      <c r="F16" s="1084"/>
      <c r="G16" s="1087"/>
      <c r="H16" s="1087"/>
      <c r="I16" s="1108"/>
      <c r="J16" s="1070"/>
      <c r="K16" s="1103"/>
      <c r="L16" s="741"/>
    </row>
    <row r="17" spans="1:12" ht="30" customHeight="1" x14ac:dyDescent="0.25">
      <c r="A17" s="1092"/>
      <c r="B17" s="1093"/>
      <c r="C17" s="1081"/>
      <c r="D17" s="1081"/>
      <c r="E17" s="1081"/>
      <c r="F17" s="1085"/>
      <c r="G17" s="1088"/>
      <c r="H17" s="1088"/>
      <c r="I17" s="1109"/>
      <c r="J17" s="1071"/>
      <c r="K17" s="1110"/>
    </row>
    <row r="18" spans="1:12" ht="40.5" customHeight="1" x14ac:dyDescent="0.25">
      <c r="A18" s="816" t="s">
        <v>419</v>
      </c>
      <c r="B18" s="817" t="s">
        <v>546</v>
      </c>
      <c r="C18" s="660" t="s">
        <v>494</v>
      </c>
      <c r="D18" s="660">
        <v>1</v>
      </c>
      <c r="E18" s="798">
        <v>0.2</v>
      </c>
      <c r="F18" s="641">
        <v>1490000</v>
      </c>
      <c r="G18" s="639">
        <v>20</v>
      </c>
      <c r="H18" s="667">
        <f>E18*F18*G18*D18</f>
        <v>5960000</v>
      </c>
      <c r="I18" s="810">
        <f>H18</f>
        <v>5960000</v>
      </c>
      <c r="J18" s="723"/>
      <c r="K18" s="651"/>
      <c r="L18" s="741"/>
    </row>
    <row r="19" spans="1:12" ht="40.5" customHeight="1" x14ac:dyDescent="0.25">
      <c r="A19" s="818" t="s">
        <v>420</v>
      </c>
      <c r="B19" s="819" t="s">
        <v>547</v>
      </c>
      <c r="C19" s="853" t="s">
        <v>494</v>
      </c>
      <c r="D19" s="818">
        <v>1</v>
      </c>
      <c r="E19" s="798">
        <v>0.2</v>
      </c>
      <c r="F19" s="641">
        <v>1490000</v>
      </c>
      <c r="G19" s="639">
        <v>20</v>
      </c>
      <c r="H19" s="667">
        <f>E19*F19*G19*D19</f>
        <v>5960000</v>
      </c>
      <c r="I19" s="810">
        <f>H19</f>
        <v>5960000</v>
      </c>
      <c r="J19" s="723"/>
      <c r="K19" s="651"/>
      <c r="L19" s="741"/>
    </row>
    <row r="20" spans="1:12" ht="40.5" customHeight="1" x14ac:dyDescent="0.25">
      <c r="A20" s="818" t="s">
        <v>548</v>
      </c>
      <c r="B20" s="819" t="s">
        <v>664</v>
      </c>
      <c r="C20" s="853" t="s">
        <v>494</v>
      </c>
      <c r="D20" s="818">
        <v>1</v>
      </c>
      <c r="E20" s="798">
        <v>0.2</v>
      </c>
      <c r="F20" s="641">
        <v>1490000</v>
      </c>
      <c r="G20" s="639">
        <v>20</v>
      </c>
      <c r="H20" s="667">
        <f t="shared" ref="H20" si="0">E20*F20*G20*D20</f>
        <v>5960000</v>
      </c>
      <c r="I20" s="810">
        <f>H20</f>
        <v>5960000</v>
      </c>
      <c r="J20" s="723"/>
      <c r="K20" s="651"/>
      <c r="L20" s="741"/>
    </row>
    <row r="21" spans="1:12" ht="45.75" customHeight="1" x14ac:dyDescent="0.25">
      <c r="A21" s="853" t="s">
        <v>427</v>
      </c>
      <c r="B21" s="854" t="s">
        <v>665</v>
      </c>
      <c r="C21" s="883"/>
      <c r="D21" s="841"/>
      <c r="E21" s="841"/>
      <c r="F21" s="891"/>
      <c r="G21" s="884">
        <f>SUM(G22:G25)</f>
        <v>80</v>
      </c>
      <c r="H21" s="884">
        <f>SUM(H22:H25)</f>
        <v>23840000</v>
      </c>
      <c r="I21" s="901">
        <f>H21</f>
        <v>23840000</v>
      </c>
      <c r="J21" s="841"/>
      <c r="K21" s="892"/>
      <c r="L21" s="741"/>
    </row>
    <row r="22" spans="1:12" ht="40.5" customHeight="1" x14ac:dyDescent="0.25">
      <c r="A22" s="853" t="s">
        <v>604</v>
      </c>
      <c r="B22" s="854" t="s">
        <v>666</v>
      </c>
      <c r="C22" s="841" t="s">
        <v>494</v>
      </c>
      <c r="D22" s="841">
        <v>1</v>
      </c>
      <c r="E22" s="798">
        <v>0.2</v>
      </c>
      <c r="F22" s="641">
        <v>1490000</v>
      </c>
      <c r="G22" s="870">
        <v>20</v>
      </c>
      <c r="H22" s="662">
        <f>E22*F22*G22*D22</f>
        <v>5960000</v>
      </c>
      <c r="I22" s="873"/>
      <c r="J22" s="874"/>
      <c r="K22" s="875"/>
      <c r="L22" s="741"/>
    </row>
    <row r="23" spans="1:12" ht="40.5" customHeight="1" x14ac:dyDescent="0.25">
      <c r="A23" s="853" t="s">
        <v>604</v>
      </c>
      <c r="B23" s="854" t="s">
        <v>605</v>
      </c>
      <c r="C23" s="841" t="s">
        <v>494</v>
      </c>
      <c r="D23" s="841">
        <v>1</v>
      </c>
      <c r="E23" s="798">
        <v>0.2</v>
      </c>
      <c r="F23" s="641">
        <v>1490000</v>
      </c>
      <c r="G23" s="870">
        <v>20</v>
      </c>
      <c r="H23" s="662">
        <f t="shared" ref="H23:H25" si="1">E23*F23*G23*D23</f>
        <v>5960000</v>
      </c>
      <c r="I23" s="873"/>
      <c r="J23" s="874"/>
      <c r="K23" s="875"/>
      <c r="L23" s="741"/>
    </row>
    <row r="24" spans="1:12" ht="45" customHeight="1" x14ac:dyDescent="0.25">
      <c r="A24" s="853" t="s">
        <v>604</v>
      </c>
      <c r="B24" s="655" t="s">
        <v>606</v>
      </c>
      <c r="C24" s="841" t="s">
        <v>494</v>
      </c>
      <c r="D24" s="841">
        <v>1</v>
      </c>
      <c r="E24" s="798">
        <v>0.2</v>
      </c>
      <c r="F24" s="641">
        <v>1490000</v>
      </c>
      <c r="G24" s="870">
        <v>20</v>
      </c>
      <c r="H24" s="662">
        <f t="shared" si="1"/>
        <v>5960000</v>
      </c>
      <c r="I24" s="873"/>
      <c r="J24" s="874"/>
      <c r="K24" s="875"/>
      <c r="L24" s="741"/>
    </row>
    <row r="25" spans="1:12" ht="48.75" customHeight="1" x14ac:dyDescent="0.25">
      <c r="A25" s="853" t="s">
        <v>604</v>
      </c>
      <c r="B25" s="655" t="s">
        <v>719</v>
      </c>
      <c r="C25" s="841" t="s">
        <v>494</v>
      </c>
      <c r="D25" s="841">
        <v>1</v>
      </c>
      <c r="E25" s="798">
        <v>0.2</v>
      </c>
      <c r="F25" s="641">
        <v>1490000</v>
      </c>
      <c r="G25" s="870">
        <v>20</v>
      </c>
      <c r="H25" s="662">
        <f t="shared" si="1"/>
        <v>5960000</v>
      </c>
      <c r="I25" s="873"/>
      <c r="J25" s="874"/>
      <c r="K25" s="875"/>
      <c r="L25" s="741"/>
    </row>
    <row r="26" spans="1:12" ht="22.5" customHeight="1" x14ac:dyDescent="0.25">
      <c r="A26" s="1092" t="s">
        <v>45</v>
      </c>
      <c r="B26" s="1093" t="s">
        <v>607</v>
      </c>
      <c r="C26" s="1079"/>
      <c r="D26" s="1079"/>
      <c r="E26" s="1079"/>
      <c r="F26" s="1083"/>
      <c r="G26" s="1086">
        <f>SUM(G32,G35)</f>
        <v>60</v>
      </c>
      <c r="H26" s="1086">
        <f>SUM(H32,H35)</f>
        <v>21009000</v>
      </c>
      <c r="I26" s="1072">
        <f>H26</f>
        <v>21009000</v>
      </c>
      <c r="J26" s="1069"/>
      <c r="K26" s="1102"/>
      <c r="L26" s="741"/>
    </row>
    <row r="27" spans="1:12" ht="24.75" customHeight="1" x14ac:dyDescent="0.25">
      <c r="A27" s="1092"/>
      <c r="B27" s="1093"/>
      <c r="C27" s="1080"/>
      <c r="D27" s="1080"/>
      <c r="E27" s="1080"/>
      <c r="F27" s="1084"/>
      <c r="G27" s="1087"/>
      <c r="H27" s="1087"/>
      <c r="I27" s="1073"/>
      <c r="J27" s="1070"/>
      <c r="K27" s="1103"/>
    </row>
    <row r="28" spans="1:12" ht="24.75" customHeight="1" x14ac:dyDescent="0.25">
      <c r="A28" s="1092"/>
      <c r="B28" s="1093"/>
      <c r="C28" s="1080"/>
      <c r="D28" s="1080"/>
      <c r="E28" s="1080"/>
      <c r="F28" s="1084"/>
      <c r="G28" s="1087"/>
      <c r="H28" s="1087"/>
      <c r="I28" s="1073"/>
      <c r="J28" s="1070"/>
      <c r="K28" s="1103"/>
      <c r="L28" s="741"/>
    </row>
    <row r="29" spans="1:12" ht="4.5" customHeight="1" x14ac:dyDescent="0.25">
      <c r="A29" s="1092"/>
      <c r="B29" s="1093"/>
      <c r="C29" s="1081"/>
      <c r="D29" s="1081"/>
      <c r="E29" s="1081"/>
      <c r="F29" s="1085"/>
      <c r="G29" s="1088"/>
      <c r="H29" s="1088"/>
      <c r="I29" s="1074"/>
      <c r="J29" s="1071"/>
      <c r="K29" s="1110"/>
    </row>
    <row r="30" spans="1:12" ht="42" customHeight="1" x14ac:dyDescent="0.25">
      <c r="A30" s="1111" t="s">
        <v>369</v>
      </c>
      <c r="B30" s="1060" t="s">
        <v>720</v>
      </c>
      <c r="C30" s="660" t="s">
        <v>493</v>
      </c>
      <c r="D30" s="660">
        <v>1</v>
      </c>
      <c r="E30" s="813">
        <v>0.27</v>
      </c>
      <c r="F30" s="775">
        <v>1490000</v>
      </c>
      <c r="G30" s="641">
        <v>15</v>
      </c>
      <c r="H30" s="662">
        <f>E30*F30*G30*D30</f>
        <v>6034500</v>
      </c>
      <c r="I30" s="793"/>
      <c r="J30" s="723"/>
      <c r="K30" s="651"/>
      <c r="L30" s="741"/>
    </row>
    <row r="31" spans="1:12" ht="39" customHeight="1" x14ac:dyDescent="0.25">
      <c r="A31" s="1112"/>
      <c r="B31" s="1061"/>
      <c r="C31" s="660" t="s">
        <v>494</v>
      </c>
      <c r="D31" s="660">
        <v>1</v>
      </c>
      <c r="E31" s="773">
        <v>0.2</v>
      </c>
      <c r="F31" s="775">
        <v>1490000</v>
      </c>
      <c r="G31" s="641">
        <v>15</v>
      </c>
      <c r="H31" s="662">
        <f>E31*F31*G31*D31</f>
        <v>4470000</v>
      </c>
      <c r="I31" s="793"/>
      <c r="J31" s="723"/>
      <c r="K31" s="651"/>
      <c r="L31" s="741"/>
    </row>
    <row r="32" spans="1:12" ht="30.75" customHeight="1" x14ac:dyDescent="0.25">
      <c r="A32" s="1113"/>
      <c r="B32" s="1062"/>
      <c r="C32" s="811" t="s">
        <v>449</v>
      </c>
      <c r="D32" s="718"/>
      <c r="E32" s="666"/>
      <c r="F32" s="737"/>
      <c r="G32" s="639">
        <f>(D30*G30)+(D31*G31)</f>
        <v>30</v>
      </c>
      <c r="H32" s="667">
        <f>SUM(H30:H31)</f>
        <v>10504500</v>
      </c>
      <c r="I32" s="793">
        <f>H32</f>
        <v>10504500</v>
      </c>
      <c r="J32" s="723"/>
      <c r="K32" s="651"/>
    </row>
    <row r="33" spans="1:12" ht="47.25" customHeight="1" x14ac:dyDescent="0.25">
      <c r="A33" s="1111" t="s">
        <v>370</v>
      </c>
      <c r="B33" s="1060" t="s">
        <v>721</v>
      </c>
      <c r="C33" s="660" t="s">
        <v>493</v>
      </c>
      <c r="D33" s="660">
        <v>1</v>
      </c>
      <c r="E33" s="773">
        <v>0.27</v>
      </c>
      <c r="F33" s="775">
        <v>1490000</v>
      </c>
      <c r="G33" s="641">
        <v>15</v>
      </c>
      <c r="H33" s="662">
        <f>E33*F33*G33*D33</f>
        <v>6034500</v>
      </c>
      <c r="I33" s="793"/>
      <c r="J33" s="723"/>
      <c r="K33" s="651"/>
      <c r="L33" s="741"/>
    </row>
    <row r="34" spans="1:12" ht="25.5" customHeight="1" x14ac:dyDescent="0.25">
      <c r="A34" s="1112"/>
      <c r="B34" s="1061"/>
      <c r="C34" s="660" t="s">
        <v>494</v>
      </c>
      <c r="D34" s="660">
        <v>1</v>
      </c>
      <c r="E34" s="798">
        <v>0.2</v>
      </c>
      <c r="F34" s="775">
        <v>1490000</v>
      </c>
      <c r="G34" s="641">
        <v>15</v>
      </c>
      <c r="H34" s="662">
        <f>E34*F34*G34*D34</f>
        <v>4470000</v>
      </c>
      <c r="I34" s="793"/>
      <c r="J34" s="723"/>
      <c r="K34" s="651"/>
      <c r="L34" s="741"/>
    </row>
    <row r="35" spans="1:12" ht="41.25" customHeight="1" x14ac:dyDescent="0.25">
      <c r="A35" s="1113"/>
      <c r="B35" s="1062"/>
      <c r="C35" s="811" t="s">
        <v>449</v>
      </c>
      <c r="D35" s="718"/>
      <c r="E35" s="666"/>
      <c r="F35" s="737"/>
      <c r="G35" s="639">
        <f>(D33*G33)+(D34*G34)</f>
        <v>30</v>
      </c>
      <c r="H35" s="667">
        <f>SUM(H33:H34)</f>
        <v>10504500</v>
      </c>
      <c r="I35" s="793">
        <f>H35</f>
        <v>10504500</v>
      </c>
      <c r="J35" s="723"/>
      <c r="K35" s="651"/>
    </row>
    <row r="36" spans="1:12" ht="31.5" customHeight="1" x14ac:dyDescent="0.25">
      <c r="A36" s="1096" t="s">
        <v>87</v>
      </c>
      <c r="B36" s="1098" t="s">
        <v>608</v>
      </c>
      <c r="C36" s="1069"/>
      <c r="D36" s="1069"/>
      <c r="E36" s="1069"/>
      <c r="F36" s="1100"/>
      <c r="G36" s="1086">
        <f>SUM(G40,G41,G44,G47,G50,G53)</f>
        <v>250</v>
      </c>
      <c r="H36" s="1086">
        <f>SUM(H40,H41,H44,H47,H50,H53)</f>
        <v>90443000</v>
      </c>
      <c r="I36" s="1105">
        <f>H36</f>
        <v>90443000</v>
      </c>
      <c r="J36" s="1069"/>
      <c r="K36" s="1102"/>
    </row>
    <row r="37" spans="1:12" ht="29.25" customHeight="1" x14ac:dyDescent="0.25">
      <c r="A37" s="1097"/>
      <c r="B37" s="1099"/>
      <c r="C37" s="1070"/>
      <c r="D37" s="1070"/>
      <c r="E37" s="1070"/>
      <c r="F37" s="1101"/>
      <c r="G37" s="1087"/>
      <c r="H37" s="1087"/>
      <c r="I37" s="1106"/>
      <c r="J37" s="1070"/>
      <c r="K37" s="1103"/>
    </row>
    <row r="38" spans="1:12" ht="32.25" customHeight="1" x14ac:dyDescent="0.25">
      <c r="A38" s="1114" t="s">
        <v>433</v>
      </c>
      <c r="B38" s="1115" t="s">
        <v>542</v>
      </c>
      <c r="C38" s="660" t="s">
        <v>495</v>
      </c>
      <c r="D38" s="660">
        <v>1</v>
      </c>
      <c r="E38" s="773">
        <v>0.27</v>
      </c>
      <c r="F38" s="775">
        <v>1490000</v>
      </c>
      <c r="G38" s="863">
        <v>10</v>
      </c>
      <c r="H38" s="662">
        <f>E38*F38*G38*D38</f>
        <v>4023000</v>
      </c>
      <c r="I38" s="814"/>
      <c r="J38" s="660"/>
      <c r="K38" s="797"/>
    </row>
    <row r="39" spans="1:12" ht="32.25" customHeight="1" x14ac:dyDescent="0.25">
      <c r="A39" s="1114"/>
      <c r="B39" s="1115"/>
      <c r="C39" s="660" t="s">
        <v>494</v>
      </c>
      <c r="D39" s="660">
        <v>1</v>
      </c>
      <c r="E39" s="723">
        <v>0.2</v>
      </c>
      <c r="F39" s="775">
        <v>1490000</v>
      </c>
      <c r="G39" s="444">
        <v>10</v>
      </c>
      <c r="H39" s="662">
        <f>E39*F39*G39*D39</f>
        <v>2980000</v>
      </c>
      <c r="I39" s="814"/>
      <c r="J39" s="660"/>
      <c r="K39" s="797"/>
      <c r="L39" s="741"/>
    </row>
    <row r="40" spans="1:12" ht="32.25" customHeight="1" x14ac:dyDescent="0.25">
      <c r="A40" s="1114"/>
      <c r="B40" s="1115"/>
      <c r="C40" s="811" t="s">
        <v>449</v>
      </c>
      <c r="D40" s="718"/>
      <c r="E40" s="718"/>
      <c r="F40" s="812"/>
      <c r="G40" s="639">
        <f>(D38*G38)+(D39*G39)</f>
        <v>20</v>
      </c>
      <c r="H40" s="785">
        <f>H38+H39</f>
        <v>7003000</v>
      </c>
      <c r="I40" s="903">
        <f>H40</f>
        <v>7003000</v>
      </c>
      <c r="J40" s="660"/>
      <c r="K40" s="797"/>
    </row>
    <row r="41" spans="1:12" ht="85.5" customHeight="1" x14ac:dyDescent="0.25">
      <c r="A41" s="853" t="s">
        <v>434</v>
      </c>
      <c r="B41" s="855" t="s">
        <v>722</v>
      </c>
      <c r="C41" s="856"/>
      <c r="D41" s="841"/>
      <c r="E41" s="856"/>
      <c r="F41" s="890"/>
      <c r="G41" s="884">
        <f>G42+G43</f>
        <v>30</v>
      </c>
      <c r="H41" s="884">
        <f>H42+H43</f>
        <v>8940000</v>
      </c>
      <c r="I41" s="923">
        <f>H41</f>
        <v>8940000</v>
      </c>
      <c r="J41" s="841"/>
      <c r="K41" s="892"/>
      <c r="L41" s="741"/>
    </row>
    <row r="42" spans="1:12" ht="30" customHeight="1" x14ac:dyDescent="0.25">
      <c r="A42" s="853" t="s">
        <v>604</v>
      </c>
      <c r="B42" s="855" t="s">
        <v>724</v>
      </c>
      <c r="C42" s="853" t="s">
        <v>494</v>
      </c>
      <c r="D42" s="853">
        <v>1</v>
      </c>
      <c r="E42" s="723">
        <v>0.2</v>
      </c>
      <c r="F42" s="866">
        <v>1490000</v>
      </c>
      <c r="G42" s="863">
        <v>15</v>
      </c>
      <c r="H42" s="662">
        <f>E42*F42*G42*D42</f>
        <v>4470000</v>
      </c>
      <c r="I42" s="903"/>
      <c r="J42" s="853"/>
      <c r="K42" s="797"/>
      <c r="L42" s="741"/>
    </row>
    <row r="43" spans="1:12" ht="26.25" customHeight="1" x14ac:dyDescent="0.25">
      <c r="A43" s="853" t="s">
        <v>604</v>
      </c>
      <c r="B43" s="855" t="s">
        <v>725</v>
      </c>
      <c r="C43" s="853" t="s">
        <v>494</v>
      </c>
      <c r="D43" s="853">
        <v>1</v>
      </c>
      <c r="E43" s="723">
        <v>0.2</v>
      </c>
      <c r="F43" s="866">
        <v>1490000</v>
      </c>
      <c r="G43" s="863">
        <v>15</v>
      </c>
      <c r="H43" s="662">
        <f>E43*F43*G43*D43</f>
        <v>4470000</v>
      </c>
      <c r="I43" s="903"/>
      <c r="J43" s="853"/>
      <c r="K43" s="797"/>
      <c r="L43" s="741"/>
    </row>
    <row r="44" spans="1:12" ht="67.5" customHeight="1" x14ac:dyDescent="0.25">
      <c r="A44" s="853" t="s">
        <v>435</v>
      </c>
      <c r="B44" s="854" t="s">
        <v>723</v>
      </c>
      <c r="C44" s="856"/>
      <c r="D44" s="841"/>
      <c r="E44" s="856"/>
      <c r="F44" s="890"/>
      <c r="G44" s="884">
        <f>G45+G46</f>
        <v>40</v>
      </c>
      <c r="H44" s="884">
        <f>H45+H46</f>
        <v>11920000</v>
      </c>
      <c r="I44" s="902">
        <f>H44</f>
        <v>11920000</v>
      </c>
      <c r="J44" s="841"/>
      <c r="K44" s="841"/>
      <c r="L44" s="741"/>
    </row>
    <row r="45" spans="1:12" ht="32.25" customHeight="1" x14ac:dyDescent="0.25">
      <c r="A45" s="841" t="s">
        <v>604</v>
      </c>
      <c r="B45" s="998" t="s">
        <v>724</v>
      </c>
      <c r="C45" s="853" t="s">
        <v>494</v>
      </c>
      <c r="D45" s="853">
        <v>1</v>
      </c>
      <c r="E45" s="723">
        <v>0.2</v>
      </c>
      <c r="F45" s="866">
        <v>1490000</v>
      </c>
      <c r="G45" s="863">
        <v>20</v>
      </c>
      <c r="H45" s="662">
        <f>E45*F45*G45*D45</f>
        <v>5960000</v>
      </c>
      <c r="I45" s="903"/>
      <c r="J45" s="853"/>
      <c r="K45" s="797"/>
      <c r="L45" s="741"/>
    </row>
    <row r="46" spans="1:12" ht="32.25" customHeight="1" x14ac:dyDescent="0.25">
      <c r="A46" s="841" t="s">
        <v>604</v>
      </c>
      <c r="B46" s="998" t="s">
        <v>725</v>
      </c>
      <c r="C46" s="853" t="s">
        <v>494</v>
      </c>
      <c r="D46" s="853">
        <v>1</v>
      </c>
      <c r="E46" s="723">
        <v>0.2</v>
      </c>
      <c r="F46" s="866">
        <v>1490000</v>
      </c>
      <c r="G46" s="863">
        <v>20</v>
      </c>
      <c r="H46" s="662">
        <f>E46*F46*G46*D46</f>
        <v>5960000</v>
      </c>
      <c r="I46" s="903"/>
      <c r="J46" s="853"/>
      <c r="K46" s="797"/>
      <c r="L46" s="741"/>
    </row>
    <row r="47" spans="1:12" ht="63" x14ac:dyDescent="0.25">
      <c r="A47" s="841" t="s">
        <v>458</v>
      </c>
      <c r="B47" s="876" t="s">
        <v>726</v>
      </c>
      <c r="C47" s="811"/>
      <c r="D47" s="853"/>
      <c r="E47" s="853"/>
      <c r="F47" s="863"/>
      <c r="G47" s="639">
        <f>G48+G49</f>
        <v>40</v>
      </c>
      <c r="H47" s="785">
        <f>H48+H49</f>
        <v>11920000</v>
      </c>
      <c r="I47" s="903">
        <f>H47</f>
        <v>11920000</v>
      </c>
      <c r="J47" s="853"/>
      <c r="K47" s="797"/>
    </row>
    <row r="48" spans="1:12" ht="39" customHeight="1" x14ac:dyDescent="0.25">
      <c r="A48" s="841" t="s">
        <v>604</v>
      </c>
      <c r="B48" s="998" t="s">
        <v>724</v>
      </c>
      <c r="C48" s="853" t="s">
        <v>494</v>
      </c>
      <c r="D48" s="853">
        <v>1</v>
      </c>
      <c r="E48" s="723">
        <v>0.2</v>
      </c>
      <c r="F48" s="866">
        <v>1490000</v>
      </c>
      <c r="G48" s="863">
        <v>20</v>
      </c>
      <c r="H48" s="662">
        <f>E48*F48*G48*D48</f>
        <v>5960000</v>
      </c>
      <c r="I48" s="903"/>
      <c r="J48" s="853"/>
      <c r="K48" s="797"/>
      <c r="L48" s="741"/>
    </row>
    <row r="49" spans="1:12" ht="30" customHeight="1" x14ac:dyDescent="0.25">
      <c r="A49" s="841" t="s">
        <v>604</v>
      </c>
      <c r="B49" s="998" t="s">
        <v>725</v>
      </c>
      <c r="C49" s="853" t="s">
        <v>494</v>
      </c>
      <c r="D49" s="853">
        <v>1</v>
      </c>
      <c r="E49" s="723">
        <v>0.2</v>
      </c>
      <c r="F49" s="866">
        <v>1490000</v>
      </c>
      <c r="G49" s="863">
        <v>20</v>
      </c>
      <c r="H49" s="662">
        <f>E49*F49*G49*D49</f>
        <v>5960000</v>
      </c>
      <c r="I49" s="903"/>
      <c r="J49" s="853"/>
      <c r="K49" s="797"/>
      <c r="L49" s="741"/>
    </row>
    <row r="50" spans="1:12" ht="56.25" customHeight="1" x14ac:dyDescent="0.25">
      <c r="A50" s="841" t="s">
        <v>459</v>
      </c>
      <c r="B50" s="843" t="s">
        <v>727</v>
      </c>
      <c r="C50" s="811"/>
      <c r="D50" s="853"/>
      <c r="E50" s="853"/>
      <c r="F50" s="863"/>
      <c r="G50" s="639">
        <f>G51+G52</f>
        <v>40</v>
      </c>
      <c r="H50" s="785">
        <f>H51+H52</f>
        <v>11920000</v>
      </c>
      <c r="I50" s="903">
        <f>H50</f>
        <v>11920000</v>
      </c>
      <c r="J50" s="853"/>
      <c r="K50" s="797"/>
    </row>
    <row r="51" spans="1:12" ht="24" customHeight="1" x14ac:dyDescent="0.25">
      <c r="A51" s="841" t="s">
        <v>604</v>
      </c>
      <c r="B51" s="998" t="s">
        <v>724</v>
      </c>
      <c r="C51" s="853" t="s">
        <v>494</v>
      </c>
      <c r="D51" s="853">
        <v>1</v>
      </c>
      <c r="E51" s="723">
        <v>0.2</v>
      </c>
      <c r="F51" s="866">
        <v>1490000</v>
      </c>
      <c r="G51" s="863">
        <v>20</v>
      </c>
      <c r="H51" s="662">
        <f>E51*F51*G51*D51</f>
        <v>5960000</v>
      </c>
      <c r="I51" s="814"/>
      <c r="J51" s="853"/>
      <c r="K51" s="797"/>
      <c r="L51" s="741"/>
    </row>
    <row r="52" spans="1:12" ht="25.5" customHeight="1" x14ac:dyDescent="0.25">
      <c r="A52" s="841" t="s">
        <v>604</v>
      </c>
      <c r="B52" s="998" t="s">
        <v>725</v>
      </c>
      <c r="C52" s="853" t="s">
        <v>494</v>
      </c>
      <c r="D52" s="853">
        <v>1</v>
      </c>
      <c r="E52" s="723">
        <v>0.2</v>
      </c>
      <c r="F52" s="866">
        <v>1490000</v>
      </c>
      <c r="G52" s="863">
        <v>20</v>
      </c>
      <c r="H52" s="662">
        <f>E52*F52*G52*D52</f>
        <v>5960000</v>
      </c>
      <c r="I52" s="814"/>
      <c r="J52" s="853"/>
      <c r="K52" s="797"/>
      <c r="L52" s="741"/>
    </row>
    <row r="53" spans="1:12" ht="54" customHeight="1" x14ac:dyDescent="0.25">
      <c r="A53" s="853" t="s">
        <v>460</v>
      </c>
      <c r="B53" s="312" t="s">
        <v>728</v>
      </c>
      <c r="C53" s="841"/>
      <c r="D53" s="841"/>
      <c r="E53" s="841"/>
      <c r="F53" s="841"/>
      <c r="G53" s="885">
        <f>SUM(G54:G57)</f>
        <v>80</v>
      </c>
      <c r="H53" s="885">
        <f>SUM(H54:H57)</f>
        <v>38740000</v>
      </c>
      <c r="I53" s="885">
        <f>H53</f>
        <v>38740000</v>
      </c>
      <c r="J53" s="841"/>
      <c r="K53" s="841"/>
    </row>
    <row r="54" spans="1:12" s="645" customFormat="1" ht="40.5" customHeight="1" x14ac:dyDescent="0.25">
      <c r="A54" s="853" t="s">
        <v>604</v>
      </c>
      <c r="B54" s="312" t="s">
        <v>729</v>
      </c>
      <c r="C54" s="925" t="s">
        <v>492</v>
      </c>
      <c r="D54" s="925">
        <v>1</v>
      </c>
      <c r="E54" s="723">
        <v>0.49</v>
      </c>
      <c r="F54" s="866">
        <v>1490000</v>
      </c>
      <c r="G54" s="641">
        <v>20</v>
      </c>
      <c r="H54" s="662">
        <f>E54*F54*G54*D54</f>
        <v>14602000</v>
      </c>
      <c r="I54" s="814"/>
      <c r="J54" s="853"/>
      <c r="K54" s="797"/>
      <c r="L54" s="741"/>
    </row>
    <row r="55" spans="1:12" s="645" customFormat="1" ht="45.75" customHeight="1" x14ac:dyDescent="0.25">
      <c r="A55" s="853" t="s">
        <v>604</v>
      </c>
      <c r="B55" s="312" t="s">
        <v>730</v>
      </c>
      <c r="C55" s="925" t="s">
        <v>493</v>
      </c>
      <c r="D55" s="925">
        <v>1</v>
      </c>
      <c r="E55" s="924">
        <v>0.27</v>
      </c>
      <c r="F55" s="866">
        <v>1490000</v>
      </c>
      <c r="G55" s="641">
        <v>20</v>
      </c>
      <c r="H55" s="662">
        <f>E55*F55*G55*D55</f>
        <v>8046000</v>
      </c>
      <c r="I55" s="814"/>
      <c r="J55" s="853"/>
      <c r="K55" s="797"/>
      <c r="L55" s="741"/>
    </row>
    <row r="56" spans="1:12" s="645" customFormat="1" ht="51" customHeight="1" x14ac:dyDescent="0.25">
      <c r="A56" s="841" t="s">
        <v>604</v>
      </c>
      <c r="B56" s="655" t="s">
        <v>731</v>
      </c>
      <c r="C56" s="853" t="s">
        <v>493</v>
      </c>
      <c r="D56" s="853">
        <v>1</v>
      </c>
      <c r="E56" s="857">
        <v>0.27</v>
      </c>
      <c r="F56" s="866">
        <v>1490000</v>
      </c>
      <c r="G56" s="641">
        <v>20</v>
      </c>
      <c r="H56" s="662">
        <f>E56*F56*G56*D56</f>
        <v>8046000</v>
      </c>
      <c r="I56" s="814"/>
      <c r="J56" s="853"/>
      <c r="K56" s="797"/>
      <c r="L56" s="741"/>
    </row>
    <row r="57" spans="1:12" s="645" customFormat="1" ht="43.5" customHeight="1" x14ac:dyDescent="0.25">
      <c r="A57" s="841" t="s">
        <v>604</v>
      </c>
      <c r="B57" s="855" t="s">
        <v>732</v>
      </c>
      <c r="C57" s="853" t="s">
        <v>493</v>
      </c>
      <c r="D57" s="853">
        <v>1</v>
      </c>
      <c r="E57" s="857">
        <v>0.27</v>
      </c>
      <c r="F57" s="866">
        <v>1490000</v>
      </c>
      <c r="G57" s="641">
        <v>20</v>
      </c>
      <c r="H57" s="662">
        <f>E57*F57*G57*D57</f>
        <v>8046000</v>
      </c>
      <c r="I57" s="814"/>
      <c r="J57" s="853"/>
      <c r="K57" s="797"/>
      <c r="L57" s="741"/>
    </row>
    <row r="58" spans="1:12" s="646" customFormat="1" ht="73.5" customHeight="1" x14ac:dyDescent="0.25">
      <c r="A58" s="851">
        <v>2</v>
      </c>
      <c r="B58" s="852" t="s">
        <v>733</v>
      </c>
      <c r="C58" s="886"/>
      <c r="D58" s="886"/>
      <c r="E58" s="886"/>
      <c r="F58" s="886"/>
      <c r="G58" s="886">
        <f>SUM(G59,G62,G63)</f>
        <v>180</v>
      </c>
      <c r="H58" s="886">
        <f>SUM(H59,H62,H63)</f>
        <v>77033000</v>
      </c>
      <c r="I58" s="886">
        <f>H58</f>
        <v>77033000</v>
      </c>
      <c r="J58" s="886"/>
      <c r="K58" s="886"/>
      <c r="L58" s="741"/>
    </row>
    <row r="59" spans="1:12" s="646" customFormat="1" ht="51.75" customHeight="1" x14ac:dyDescent="0.25">
      <c r="A59" s="839" t="s">
        <v>609</v>
      </c>
      <c r="B59" s="840" t="s">
        <v>662</v>
      </c>
      <c r="C59" s="712"/>
      <c r="D59" s="782"/>
      <c r="E59" s="772"/>
      <c r="F59" s="887"/>
      <c r="G59" s="758">
        <f>SUM(G60:G61)</f>
        <v>50</v>
      </c>
      <c r="H59" s="707">
        <f>SUM(H60:H61)</f>
        <v>14900000</v>
      </c>
      <c r="I59" s="748">
        <f>H59</f>
        <v>14900000</v>
      </c>
      <c r="J59" s="888"/>
      <c r="K59" s="889"/>
    </row>
    <row r="60" spans="1:12" s="646" customFormat="1" ht="51.75" customHeight="1" x14ac:dyDescent="0.25">
      <c r="A60" s="880" t="s">
        <v>604</v>
      </c>
      <c r="B60" s="844" t="s">
        <v>610</v>
      </c>
      <c r="C60" s="864" t="s">
        <v>494</v>
      </c>
      <c r="D60" s="864">
        <v>1</v>
      </c>
      <c r="E60" s="857">
        <v>0.2</v>
      </c>
      <c r="F60" s="866">
        <v>1490000</v>
      </c>
      <c r="G60" s="641">
        <v>25</v>
      </c>
      <c r="H60" s="662">
        <f>E60*F60*G60*D60</f>
        <v>7450000</v>
      </c>
      <c r="I60" s="877"/>
      <c r="J60" s="878"/>
      <c r="K60" s="879"/>
      <c r="L60" s="741"/>
    </row>
    <row r="61" spans="1:12" s="646" customFormat="1" ht="51.75" customHeight="1" x14ac:dyDescent="0.25">
      <c r="A61" s="880" t="s">
        <v>604</v>
      </c>
      <c r="B61" s="844" t="s">
        <v>611</v>
      </c>
      <c r="C61" s="864" t="s">
        <v>494</v>
      </c>
      <c r="D61" s="864">
        <v>1</v>
      </c>
      <c r="E61" s="857">
        <v>0.2</v>
      </c>
      <c r="F61" s="866">
        <v>1490000</v>
      </c>
      <c r="G61" s="641">
        <v>25</v>
      </c>
      <c r="H61" s="662">
        <f>E61*F61*G61*D61</f>
        <v>7450000</v>
      </c>
      <c r="I61" s="877"/>
      <c r="J61" s="878"/>
      <c r="K61" s="879"/>
      <c r="L61" s="741"/>
    </row>
    <row r="62" spans="1:12" s="646" customFormat="1" ht="47.25" x14ac:dyDescent="0.25">
      <c r="A62" s="839" t="s">
        <v>612</v>
      </c>
      <c r="B62" s="840" t="s">
        <v>613</v>
      </c>
      <c r="C62" s="742" t="s">
        <v>492</v>
      </c>
      <c r="D62" s="742">
        <v>1</v>
      </c>
      <c r="E62" s="860">
        <v>0.49</v>
      </c>
      <c r="F62" s="731">
        <v>1490000</v>
      </c>
      <c r="G62" s="758">
        <v>30</v>
      </c>
      <c r="H62" s="904">
        <f>E62*F62*G62*D62</f>
        <v>21903000</v>
      </c>
      <c r="I62" s="748">
        <f>H62</f>
        <v>21903000</v>
      </c>
      <c r="J62" s="888"/>
      <c r="K62" s="889"/>
    </row>
    <row r="63" spans="1:12" s="646" customFormat="1" ht="81" customHeight="1" x14ac:dyDescent="0.25">
      <c r="A63" s="839" t="s">
        <v>614</v>
      </c>
      <c r="B63" s="840" t="s">
        <v>615</v>
      </c>
      <c r="C63" s="710"/>
      <c r="D63" s="905"/>
      <c r="E63" s="906"/>
      <c r="F63" s="731"/>
      <c r="G63" s="758">
        <f>SUM(G64:G67)</f>
        <v>100</v>
      </c>
      <c r="H63" s="707">
        <f>SUM(H64:H67)</f>
        <v>40230000</v>
      </c>
      <c r="I63" s="748">
        <f>H63</f>
        <v>40230000</v>
      </c>
      <c r="J63" s="888"/>
      <c r="K63" s="889"/>
    </row>
    <row r="64" spans="1:12" s="646" customFormat="1" ht="73.5" customHeight="1" x14ac:dyDescent="0.25">
      <c r="A64" s="842" t="s">
        <v>604</v>
      </c>
      <c r="B64" s="844" t="s">
        <v>668</v>
      </c>
      <c r="C64" s="864" t="s">
        <v>493</v>
      </c>
      <c r="D64" s="864">
        <v>1</v>
      </c>
      <c r="E64" s="857">
        <v>0.27</v>
      </c>
      <c r="F64" s="866">
        <v>1490000</v>
      </c>
      <c r="G64" s="641">
        <v>25</v>
      </c>
      <c r="H64" s="662">
        <f>E64*F64*G64*D64</f>
        <v>10057500</v>
      </c>
      <c r="I64" s="877"/>
      <c r="J64" s="878"/>
      <c r="K64" s="879"/>
      <c r="L64" s="741"/>
    </row>
    <row r="65" spans="1:12" s="646" customFormat="1" ht="48" customHeight="1" x14ac:dyDescent="0.25">
      <c r="A65" s="842" t="s">
        <v>604</v>
      </c>
      <c r="B65" s="844" t="s">
        <v>669</v>
      </c>
      <c r="C65" s="864" t="s">
        <v>493</v>
      </c>
      <c r="D65" s="864">
        <v>1</v>
      </c>
      <c r="E65" s="857">
        <v>0.27</v>
      </c>
      <c r="F65" s="866">
        <v>1490000</v>
      </c>
      <c r="G65" s="641">
        <v>25</v>
      </c>
      <c r="H65" s="662">
        <f>E65*F65*G65*D65</f>
        <v>10057500</v>
      </c>
      <c r="I65" s="877"/>
      <c r="J65" s="878"/>
      <c r="K65" s="879"/>
      <c r="L65" s="741"/>
    </row>
    <row r="66" spans="1:12" s="646" customFormat="1" ht="48" customHeight="1" x14ac:dyDescent="0.25">
      <c r="A66" s="842" t="s">
        <v>604</v>
      </c>
      <c r="B66" s="844" t="s">
        <v>670</v>
      </c>
      <c r="C66" s="864" t="s">
        <v>493</v>
      </c>
      <c r="D66" s="864">
        <v>1</v>
      </c>
      <c r="E66" s="857">
        <v>0.27</v>
      </c>
      <c r="F66" s="866">
        <v>1490000</v>
      </c>
      <c r="G66" s="641">
        <v>25</v>
      </c>
      <c r="H66" s="662">
        <f>E66*F66*G66*D66</f>
        <v>10057500</v>
      </c>
      <c r="I66" s="877"/>
      <c r="J66" s="878"/>
      <c r="K66" s="879"/>
      <c r="L66" s="741"/>
    </row>
    <row r="67" spans="1:12" s="646" customFormat="1" ht="48" customHeight="1" x14ac:dyDescent="0.25">
      <c r="A67" s="842" t="s">
        <v>604</v>
      </c>
      <c r="B67" s="844" t="s">
        <v>671</v>
      </c>
      <c r="C67" s="864" t="s">
        <v>493</v>
      </c>
      <c r="D67" s="864">
        <v>1</v>
      </c>
      <c r="E67" s="857">
        <v>0.27</v>
      </c>
      <c r="F67" s="866">
        <v>1490000</v>
      </c>
      <c r="G67" s="641">
        <v>25</v>
      </c>
      <c r="H67" s="662">
        <f>E67*F67*G67*D67</f>
        <v>10057500</v>
      </c>
      <c r="I67" s="877"/>
      <c r="J67" s="878"/>
      <c r="K67" s="879"/>
      <c r="L67" s="741"/>
    </row>
    <row r="68" spans="1:12" ht="68.25" customHeight="1" x14ac:dyDescent="0.25">
      <c r="A68" s="689">
        <v>3</v>
      </c>
      <c r="B68" s="690" t="s">
        <v>734</v>
      </c>
      <c r="C68" s="695"/>
      <c r="D68" s="668"/>
      <c r="E68" s="696"/>
      <c r="F68" s="738"/>
      <c r="G68" s="699">
        <f>SUM(G69,G91,G104,G111)</f>
        <v>610</v>
      </c>
      <c r="H68" s="699">
        <f>SUM(H69,H91,H104,H111)</f>
        <v>230726500</v>
      </c>
      <c r="I68" s="755">
        <f>I69+I91</f>
        <v>139464000</v>
      </c>
      <c r="J68" s="763">
        <f>J104+J111</f>
        <v>91262500</v>
      </c>
      <c r="K68" s="674"/>
    </row>
    <row r="69" spans="1:12" ht="63" x14ac:dyDescent="0.25">
      <c r="A69" s="859" t="s">
        <v>367</v>
      </c>
      <c r="B69" s="860" t="s">
        <v>616</v>
      </c>
      <c r="C69" s="742"/>
      <c r="D69" s="742"/>
      <c r="E69" s="860"/>
      <c r="F69" s="731"/>
      <c r="G69" s="705">
        <f>SUM(G72,G75,G78,G81,G84,G87,G90)</f>
        <v>245</v>
      </c>
      <c r="H69" s="705">
        <f>SUM(H72,H75,H78,H81,H84,H87,H90)</f>
        <v>83961500</v>
      </c>
      <c r="I69" s="748">
        <f>H69</f>
        <v>83961500</v>
      </c>
      <c r="J69" s="725"/>
      <c r="K69" s="706"/>
    </row>
    <row r="70" spans="1:12" ht="25.5" customHeight="1" x14ac:dyDescent="0.25">
      <c r="A70" s="1063" t="s">
        <v>453</v>
      </c>
      <c r="B70" s="1104" t="s">
        <v>617</v>
      </c>
      <c r="C70" s="653" t="s">
        <v>493</v>
      </c>
      <c r="D70" s="653">
        <v>1</v>
      </c>
      <c r="E70" s="315">
        <v>0.27</v>
      </c>
      <c r="F70" s="732">
        <v>1490000</v>
      </c>
      <c r="G70" s="640">
        <v>15</v>
      </c>
      <c r="H70" s="662">
        <f>D70*E70*F70*G70</f>
        <v>6034500</v>
      </c>
      <c r="I70" s="749"/>
      <c r="J70" s="656"/>
      <c r="K70" s="453"/>
      <c r="L70" s="741"/>
    </row>
    <row r="71" spans="1:12" ht="25.5" customHeight="1" x14ac:dyDescent="0.25">
      <c r="A71" s="1063"/>
      <c r="B71" s="1104"/>
      <c r="C71" s="660" t="s">
        <v>494</v>
      </c>
      <c r="D71" s="654">
        <v>1</v>
      </c>
      <c r="E71" s="652">
        <v>0.2</v>
      </c>
      <c r="F71" s="732">
        <v>1490000</v>
      </c>
      <c r="G71" s="640">
        <v>20</v>
      </c>
      <c r="H71" s="641">
        <f>E71*F71*G71*D71</f>
        <v>5960000</v>
      </c>
      <c r="I71" s="749"/>
      <c r="J71" s="656"/>
      <c r="K71" s="453"/>
      <c r="L71" s="741"/>
    </row>
    <row r="72" spans="1:12" ht="27" customHeight="1" x14ac:dyDescent="0.25">
      <c r="A72" s="1063"/>
      <c r="B72" s="1104"/>
      <c r="C72" s="659" t="s">
        <v>449</v>
      </c>
      <c r="D72" s="665"/>
      <c r="E72" s="666"/>
      <c r="F72" s="737"/>
      <c r="G72" s="639">
        <f>(D70*G70)+(D71*G71)</f>
        <v>35</v>
      </c>
      <c r="H72" s="639">
        <f>SUM(H70:H71)</f>
        <v>11994500</v>
      </c>
      <c r="I72" s="757">
        <f>H72</f>
        <v>11994500</v>
      </c>
      <c r="J72" s="656"/>
      <c r="K72" s="453"/>
    </row>
    <row r="73" spans="1:12" ht="25.5" customHeight="1" x14ac:dyDescent="0.25">
      <c r="A73" s="1063" t="s">
        <v>454</v>
      </c>
      <c r="B73" s="1104" t="s">
        <v>618</v>
      </c>
      <c r="C73" s="864" t="s">
        <v>493</v>
      </c>
      <c r="D73" s="864">
        <v>1</v>
      </c>
      <c r="E73" s="857">
        <v>0.27</v>
      </c>
      <c r="F73" s="866">
        <v>1490000</v>
      </c>
      <c r="G73" s="863">
        <v>15</v>
      </c>
      <c r="H73" s="662">
        <f>D73*E73*F73*G73</f>
        <v>6034500</v>
      </c>
      <c r="I73" s="759"/>
      <c r="J73" s="656"/>
      <c r="K73" s="352"/>
      <c r="L73" s="741"/>
    </row>
    <row r="74" spans="1:12" ht="21.75" customHeight="1" x14ac:dyDescent="0.25">
      <c r="A74" s="1063"/>
      <c r="B74" s="1104"/>
      <c r="C74" s="853" t="s">
        <v>494</v>
      </c>
      <c r="D74" s="654">
        <v>1</v>
      </c>
      <c r="E74" s="652">
        <v>0.2</v>
      </c>
      <c r="F74" s="866">
        <v>1490000</v>
      </c>
      <c r="G74" s="863">
        <v>20</v>
      </c>
      <c r="H74" s="641">
        <f>E74*F74*G74*D74</f>
        <v>5960000</v>
      </c>
      <c r="I74" s="759"/>
      <c r="J74" s="656"/>
      <c r="K74" s="352"/>
      <c r="L74" s="741"/>
    </row>
    <row r="75" spans="1:12" ht="33.75" customHeight="1" x14ac:dyDescent="0.25">
      <c r="A75" s="1063"/>
      <c r="B75" s="1104"/>
      <c r="C75" s="659" t="s">
        <v>449</v>
      </c>
      <c r="D75" s="665"/>
      <c r="E75" s="666"/>
      <c r="F75" s="737"/>
      <c r="G75" s="639">
        <f>(D73*G73)+(D74*G74)</f>
        <v>35</v>
      </c>
      <c r="H75" s="639">
        <f>SUM(H73:H74)</f>
        <v>11994500</v>
      </c>
      <c r="I75" s="757">
        <f>H75</f>
        <v>11994500</v>
      </c>
      <c r="J75" s="656"/>
      <c r="K75" s="453"/>
    </row>
    <row r="76" spans="1:12" ht="24.75" customHeight="1" x14ac:dyDescent="0.25">
      <c r="A76" s="1063" t="s">
        <v>455</v>
      </c>
      <c r="B76" s="1104" t="s">
        <v>619</v>
      </c>
      <c r="C76" s="864" t="s">
        <v>493</v>
      </c>
      <c r="D76" s="864">
        <v>1</v>
      </c>
      <c r="E76" s="857">
        <v>0.27</v>
      </c>
      <c r="F76" s="866">
        <v>1490000</v>
      </c>
      <c r="G76" s="863">
        <v>15</v>
      </c>
      <c r="H76" s="662">
        <f>D76*E76*F76*G76</f>
        <v>6034500</v>
      </c>
      <c r="I76" s="777"/>
      <c r="J76" s="779"/>
      <c r="K76" s="778"/>
      <c r="L76" s="741"/>
    </row>
    <row r="77" spans="1:12" ht="24.75" customHeight="1" x14ac:dyDescent="0.25">
      <c r="A77" s="1063"/>
      <c r="B77" s="1104"/>
      <c r="C77" s="853" t="s">
        <v>494</v>
      </c>
      <c r="D77" s="654">
        <v>1</v>
      </c>
      <c r="E77" s="652">
        <v>0.2</v>
      </c>
      <c r="F77" s="866">
        <v>1490000</v>
      </c>
      <c r="G77" s="863">
        <v>20</v>
      </c>
      <c r="H77" s="641">
        <f>E77*F77*G77*D77</f>
        <v>5960000</v>
      </c>
      <c r="I77" s="777"/>
      <c r="J77" s="779"/>
      <c r="K77" s="778"/>
      <c r="L77" s="741"/>
    </row>
    <row r="78" spans="1:12" ht="36" customHeight="1" x14ac:dyDescent="0.25">
      <c r="A78" s="1063"/>
      <c r="B78" s="1104"/>
      <c r="C78" s="659" t="s">
        <v>449</v>
      </c>
      <c r="D78" s="665"/>
      <c r="E78" s="666"/>
      <c r="F78" s="737"/>
      <c r="G78" s="639">
        <f>(D76*G76)+(D77*G77)</f>
        <v>35</v>
      </c>
      <c r="H78" s="639">
        <f>SUM(H76:H77)</f>
        <v>11994500</v>
      </c>
      <c r="I78" s="757">
        <f>H78</f>
        <v>11994500</v>
      </c>
      <c r="J78" s="656"/>
      <c r="K78" s="453"/>
    </row>
    <row r="79" spans="1:12" ht="30.75" customHeight="1" x14ac:dyDescent="0.25">
      <c r="A79" s="1064" t="s">
        <v>529</v>
      </c>
      <c r="B79" s="1060" t="s">
        <v>620</v>
      </c>
      <c r="C79" s="864" t="s">
        <v>493</v>
      </c>
      <c r="D79" s="864">
        <v>1</v>
      </c>
      <c r="E79" s="857">
        <v>0.27</v>
      </c>
      <c r="F79" s="866">
        <v>1490000</v>
      </c>
      <c r="G79" s="863">
        <v>15</v>
      </c>
      <c r="H79" s="662">
        <f>D79*E79*F79*G79</f>
        <v>6034500</v>
      </c>
      <c r="I79" s="777"/>
      <c r="J79" s="723"/>
      <c r="K79" s="651"/>
      <c r="L79" s="741"/>
    </row>
    <row r="80" spans="1:12" ht="33.75" customHeight="1" x14ac:dyDescent="0.25">
      <c r="A80" s="1065"/>
      <c r="B80" s="1061"/>
      <c r="C80" s="853" t="s">
        <v>494</v>
      </c>
      <c r="D80" s="654">
        <v>1</v>
      </c>
      <c r="E80" s="652">
        <v>0.2</v>
      </c>
      <c r="F80" s="866">
        <v>1490000</v>
      </c>
      <c r="G80" s="863">
        <v>20</v>
      </c>
      <c r="H80" s="641">
        <f>E80*F80*G80*D80</f>
        <v>5960000</v>
      </c>
      <c r="I80" s="777"/>
      <c r="J80" s="723"/>
      <c r="K80" s="651"/>
      <c r="L80" s="741"/>
    </row>
    <row r="81" spans="1:12" ht="25.5" customHeight="1" x14ac:dyDescent="0.25">
      <c r="A81" s="1066"/>
      <c r="B81" s="1062"/>
      <c r="C81" s="659" t="s">
        <v>449</v>
      </c>
      <c r="D81" s="665"/>
      <c r="E81" s="666"/>
      <c r="F81" s="737"/>
      <c r="G81" s="639">
        <f>(D79*G79)+(D80*G80)</f>
        <v>35</v>
      </c>
      <c r="H81" s="639">
        <f>SUM(H79:H80)</f>
        <v>11994500</v>
      </c>
      <c r="I81" s="757">
        <f>H81</f>
        <v>11994500</v>
      </c>
      <c r="J81" s="723"/>
      <c r="K81" s="651"/>
    </row>
    <row r="82" spans="1:12" ht="34.5" customHeight="1" x14ac:dyDescent="0.25">
      <c r="A82" s="1064" t="s">
        <v>530</v>
      </c>
      <c r="B82" s="1060" t="s">
        <v>621</v>
      </c>
      <c r="C82" s="864" t="s">
        <v>493</v>
      </c>
      <c r="D82" s="864">
        <v>1</v>
      </c>
      <c r="E82" s="857">
        <v>0.27</v>
      </c>
      <c r="F82" s="866">
        <v>1490000</v>
      </c>
      <c r="G82" s="863">
        <v>15</v>
      </c>
      <c r="H82" s="662">
        <f>D82*E82*F82*G82</f>
        <v>6034500</v>
      </c>
      <c r="I82" s="867"/>
      <c r="J82" s="723"/>
      <c r="K82" s="651"/>
      <c r="L82" s="741"/>
    </row>
    <row r="83" spans="1:12" ht="29.25" customHeight="1" x14ac:dyDescent="0.25">
      <c r="A83" s="1065"/>
      <c r="B83" s="1061"/>
      <c r="C83" s="853" t="s">
        <v>494</v>
      </c>
      <c r="D83" s="654">
        <v>1</v>
      </c>
      <c r="E83" s="652">
        <v>0.2</v>
      </c>
      <c r="F83" s="866">
        <v>1490000</v>
      </c>
      <c r="G83" s="863">
        <v>20</v>
      </c>
      <c r="H83" s="641">
        <f>E83*F83*G83*D83</f>
        <v>5960000</v>
      </c>
      <c r="I83" s="867"/>
      <c r="J83" s="723"/>
      <c r="K83" s="651"/>
      <c r="L83" s="741"/>
    </row>
    <row r="84" spans="1:12" ht="32.25" customHeight="1" x14ac:dyDescent="0.25">
      <c r="A84" s="1066"/>
      <c r="B84" s="1062"/>
      <c r="C84" s="659" t="s">
        <v>449</v>
      </c>
      <c r="D84" s="665"/>
      <c r="E84" s="666"/>
      <c r="F84" s="737"/>
      <c r="G84" s="639">
        <f>(D82*G82)+(D83*G83)</f>
        <v>35</v>
      </c>
      <c r="H84" s="639">
        <f>SUM(H82:H83)</f>
        <v>11994500</v>
      </c>
      <c r="I84" s="757">
        <f>H84</f>
        <v>11994500</v>
      </c>
      <c r="J84" s="723"/>
      <c r="K84" s="651"/>
    </row>
    <row r="85" spans="1:12" ht="34.5" customHeight="1" x14ac:dyDescent="0.25">
      <c r="A85" s="1064" t="s">
        <v>531</v>
      </c>
      <c r="B85" s="1060" t="s">
        <v>622</v>
      </c>
      <c r="C85" s="864" t="s">
        <v>493</v>
      </c>
      <c r="D85" s="864">
        <v>1</v>
      </c>
      <c r="E85" s="857">
        <v>0.27</v>
      </c>
      <c r="F85" s="866">
        <v>1490000</v>
      </c>
      <c r="G85" s="863">
        <v>15</v>
      </c>
      <c r="H85" s="662">
        <f>D85*E85*F85*G85</f>
        <v>6034500</v>
      </c>
      <c r="I85" s="867"/>
      <c r="J85" s="723"/>
      <c r="K85" s="651"/>
      <c r="L85" s="741"/>
    </row>
    <row r="86" spans="1:12" ht="35.25" customHeight="1" x14ac:dyDescent="0.25">
      <c r="A86" s="1065"/>
      <c r="B86" s="1061"/>
      <c r="C86" s="853" t="s">
        <v>494</v>
      </c>
      <c r="D86" s="654">
        <v>1</v>
      </c>
      <c r="E86" s="652">
        <v>0.2</v>
      </c>
      <c r="F86" s="866">
        <v>1490000</v>
      </c>
      <c r="G86" s="863">
        <v>20</v>
      </c>
      <c r="H86" s="641">
        <f>E86*F86*G86*D86</f>
        <v>5960000</v>
      </c>
      <c r="I86" s="867"/>
      <c r="J86" s="723"/>
      <c r="K86" s="651"/>
      <c r="L86" s="741"/>
    </row>
    <row r="87" spans="1:12" ht="38.25" customHeight="1" x14ac:dyDescent="0.25">
      <c r="A87" s="1066"/>
      <c r="B87" s="1062"/>
      <c r="C87" s="659" t="s">
        <v>449</v>
      </c>
      <c r="D87" s="665"/>
      <c r="E87" s="666"/>
      <c r="F87" s="737"/>
      <c r="G87" s="639">
        <f>(D85*G85)+(D86*G86)</f>
        <v>35</v>
      </c>
      <c r="H87" s="639">
        <f>SUM(H85:H86)</f>
        <v>11994500</v>
      </c>
      <c r="I87" s="757">
        <f>H87</f>
        <v>11994500</v>
      </c>
      <c r="J87" s="723"/>
      <c r="K87" s="651"/>
    </row>
    <row r="88" spans="1:12" ht="30" customHeight="1" x14ac:dyDescent="0.25">
      <c r="A88" s="1064" t="s">
        <v>532</v>
      </c>
      <c r="B88" s="1060" t="s">
        <v>623</v>
      </c>
      <c r="C88" s="864" t="s">
        <v>493</v>
      </c>
      <c r="D88" s="864">
        <v>1</v>
      </c>
      <c r="E88" s="857">
        <v>0.27</v>
      </c>
      <c r="F88" s="866">
        <v>1490000</v>
      </c>
      <c r="G88" s="863">
        <v>15</v>
      </c>
      <c r="H88" s="662">
        <f>D88*E88*F88*G88</f>
        <v>6034500</v>
      </c>
      <c r="I88" s="777"/>
      <c r="J88" s="723"/>
      <c r="K88" s="651"/>
      <c r="L88" s="741"/>
    </row>
    <row r="89" spans="1:12" ht="27.75" customHeight="1" x14ac:dyDescent="0.25">
      <c r="A89" s="1065"/>
      <c r="B89" s="1061"/>
      <c r="C89" s="853" t="s">
        <v>494</v>
      </c>
      <c r="D89" s="654">
        <v>1</v>
      </c>
      <c r="E89" s="652">
        <v>0.2</v>
      </c>
      <c r="F89" s="866">
        <v>1490000</v>
      </c>
      <c r="G89" s="863">
        <v>20</v>
      </c>
      <c r="H89" s="641">
        <f>E89*F89*G89*D89</f>
        <v>5960000</v>
      </c>
      <c r="I89" s="777"/>
      <c r="J89" s="723"/>
      <c r="K89" s="651"/>
      <c r="L89" s="741"/>
    </row>
    <row r="90" spans="1:12" ht="34.5" customHeight="1" x14ac:dyDescent="0.25">
      <c r="A90" s="1066"/>
      <c r="B90" s="1062"/>
      <c r="C90" s="659" t="s">
        <v>449</v>
      </c>
      <c r="D90" s="665"/>
      <c r="E90" s="666"/>
      <c r="F90" s="737"/>
      <c r="G90" s="639">
        <f>(D88*G88)+(D89*G89)</f>
        <v>35</v>
      </c>
      <c r="H90" s="639">
        <f>SUM(H88:H89)</f>
        <v>11994500</v>
      </c>
      <c r="I90" s="757">
        <f>H90</f>
        <v>11994500</v>
      </c>
      <c r="J90" s="723"/>
      <c r="K90" s="651"/>
    </row>
    <row r="91" spans="1:12" ht="51.75" customHeight="1" x14ac:dyDescent="0.25">
      <c r="A91" s="708" t="s">
        <v>368</v>
      </c>
      <c r="B91" s="701" t="s">
        <v>624</v>
      </c>
      <c r="C91" s="704"/>
      <c r="D91" s="704"/>
      <c r="E91" s="701"/>
      <c r="F91" s="731"/>
      <c r="G91" s="705">
        <f>G94+G97+G100+G103</f>
        <v>140</v>
      </c>
      <c r="H91" s="705">
        <f>H94+H97+H100+H103</f>
        <v>55502500</v>
      </c>
      <c r="I91" s="748">
        <f>H91</f>
        <v>55502500</v>
      </c>
      <c r="J91" s="725"/>
      <c r="K91" s="706"/>
    </row>
    <row r="92" spans="1:12" ht="29.25" customHeight="1" x14ac:dyDescent="0.25">
      <c r="A92" s="1064" t="s">
        <v>456</v>
      </c>
      <c r="B92" s="1060" t="s">
        <v>625</v>
      </c>
      <c r="C92" s="653" t="s">
        <v>493</v>
      </c>
      <c r="D92" s="653">
        <v>1</v>
      </c>
      <c r="E92" s="655">
        <v>0.27</v>
      </c>
      <c r="F92" s="732">
        <v>1490000</v>
      </c>
      <c r="G92" s="662">
        <v>20</v>
      </c>
      <c r="H92" s="662">
        <f>E92*F92*G92</f>
        <v>8046000</v>
      </c>
      <c r="I92" s="749"/>
      <c r="J92" s="656"/>
      <c r="K92" s="453"/>
      <c r="L92" s="741"/>
    </row>
    <row r="93" spans="1:12" ht="29.25" customHeight="1" x14ac:dyDescent="0.25">
      <c r="A93" s="1065"/>
      <c r="B93" s="1061"/>
      <c r="C93" s="320" t="s">
        <v>495</v>
      </c>
      <c r="D93" s="320">
        <v>1</v>
      </c>
      <c r="E93" s="315">
        <v>0.27</v>
      </c>
      <c r="F93" s="732">
        <v>1490000</v>
      </c>
      <c r="G93" s="662">
        <v>15</v>
      </c>
      <c r="H93" s="662">
        <f>E93*F93*G93</f>
        <v>6034500</v>
      </c>
      <c r="I93" s="749"/>
      <c r="J93" s="656"/>
      <c r="K93" s="453"/>
      <c r="L93" s="741"/>
    </row>
    <row r="94" spans="1:12" ht="29.25" customHeight="1" x14ac:dyDescent="0.25">
      <c r="A94" s="1066"/>
      <c r="B94" s="1062"/>
      <c r="C94" s="659" t="s">
        <v>449</v>
      </c>
      <c r="D94" s="719"/>
      <c r="E94" s="720"/>
      <c r="F94" s="739"/>
      <c r="G94" s="663">
        <f>(D92*G92)+(D93*G93)</f>
        <v>35</v>
      </c>
      <c r="H94" s="667">
        <f>SUM(H92:H93)</f>
        <v>14080500</v>
      </c>
      <c r="I94" s="757">
        <f>H94</f>
        <v>14080500</v>
      </c>
      <c r="J94" s="656"/>
      <c r="K94" s="453"/>
    </row>
    <row r="95" spans="1:12" ht="34.5" customHeight="1" x14ac:dyDescent="0.25">
      <c r="A95" s="1064" t="s">
        <v>457</v>
      </c>
      <c r="B95" s="1060" t="s">
        <v>626</v>
      </c>
      <c r="C95" s="653" t="s">
        <v>492</v>
      </c>
      <c r="D95" s="653">
        <v>1</v>
      </c>
      <c r="E95" s="315">
        <v>0.49</v>
      </c>
      <c r="F95" s="732">
        <v>1490000</v>
      </c>
      <c r="G95" s="662">
        <v>15</v>
      </c>
      <c r="H95" s="662">
        <f>D95*E95*F95*G95</f>
        <v>10951500</v>
      </c>
      <c r="I95" s="749"/>
      <c r="J95" s="656"/>
      <c r="K95" s="453"/>
      <c r="L95" s="741"/>
    </row>
    <row r="96" spans="1:12" ht="30.75" customHeight="1" x14ac:dyDescent="0.25">
      <c r="A96" s="1065"/>
      <c r="B96" s="1061"/>
      <c r="C96" s="728" t="s">
        <v>494</v>
      </c>
      <c r="D96" s="729">
        <v>1</v>
      </c>
      <c r="E96" s="730">
        <v>0.2</v>
      </c>
      <c r="F96" s="732">
        <v>1490000</v>
      </c>
      <c r="G96" s="640">
        <v>20</v>
      </c>
      <c r="H96" s="640">
        <f>D96*E96*F96*G96</f>
        <v>5960000</v>
      </c>
      <c r="I96" s="749"/>
      <c r="J96" s="656"/>
      <c r="K96" s="352"/>
      <c r="L96" s="741"/>
    </row>
    <row r="97" spans="1:12" ht="24" customHeight="1" x14ac:dyDescent="0.25">
      <c r="A97" s="1066"/>
      <c r="B97" s="1062"/>
      <c r="C97" s="659" t="s">
        <v>449</v>
      </c>
      <c r="D97" s="719"/>
      <c r="E97" s="720"/>
      <c r="F97" s="739"/>
      <c r="G97" s="639">
        <f>(D96*G96)+(D95*G95)</f>
        <v>35</v>
      </c>
      <c r="H97" s="663">
        <f>SUM(H95:H96)</f>
        <v>16911500</v>
      </c>
      <c r="I97" s="757">
        <f>H97</f>
        <v>16911500</v>
      </c>
      <c r="J97" s="656"/>
      <c r="K97" s="453"/>
    </row>
    <row r="98" spans="1:12" ht="36.75" customHeight="1" x14ac:dyDescent="0.25">
      <c r="A98" s="1064" t="s">
        <v>504</v>
      </c>
      <c r="B98" s="1060" t="s">
        <v>672</v>
      </c>
      <c r="C98" s="774" t="s">
        <v>493</v>
      </c>
      <c r="D98" s="774">
        <v>1</v>
      </c>
      <c r="E98" s="773">
        <v>0.27</v>
      </c>
      <c r="F98" s="775">
        <v>1490000</v>
      </c>
      <c r="G98" s="662">
        <v>20</v>
      </c>
      <c r="H98" s="662">
        <f>D98*E98*F98*G98</f>
        <v>8046000</v>
      </c>
      <c r="I98" s="781"/>
      <c r="J98" s="779"/>
      <c r="K98" s="453"/>
      <c r="L98" s="741"/>
    </row>
    <row r="99" spans="1:12" ht="29.25" customHeight="1" x14ac:dyDescent="0.25">
      <c r="A99" s="1065"/>
      <c r="B99" s="1061"/>
      <c r="C99" s="728" t="s">
        <v>494</v>
      </c>
      <c r="D99" s="729">
        <v>1</v>
      </c>
      <c r="E99" s="730">
        <v>0.2</v>
      </c>
      <c r="F99" s="775">
        <v>1490000</v>
      </c>
      <c r="G99" s="776">
        <v>15</v>
      </c>
      <c r="H99" s="776">
        <f>D99*E99*F99*G99</f>
        <v>4470000</v>
      </c>
      <c r="I99" s="781"/>
      <c r="J99" s="779"/>
      <c r="K99" s="778"/>
      <c r="L99" s="741"/>
    </row>
    <row r="100" spans="1:12" ht="42" customHeight="1" x14ac:dyDescent="0.25">
      <c r="A100" s="1066"/>
      <c r="B100" s="1062"/>
      <c r="C100" s="659" t="s">
        <v>449</v>
      </c>
      <c r="D100" s="719"/>
      <c r="E100" s="720"/>
      <c r="F100" s="739"/>
      <c r="G100" s="639">
        <f>(D99*G99)+(D98*G98)</f>
        <v>35</v>
      </c>
      <c r="H100" s="663">
        <f>SUM(H98:H99)</f>
        <v>12516000</v>
      </c>
      <c r="I100" s="757">
        <f>H100</f>
        <v>12516000</v>
      </c>
      <c r="J100" s="779"/>
      <c r="K100" s="453"/>
    </row>
    <row r="101" spans="1:12" ht="36" customHeight="1" x14ac:dyDescent="0.25">
      <c r="A101" s="1064" t="s">
        <v>533</v>
      </c>
      <c r="B101" s="1060" t="s">
        <v>627</v>
      </c>
      <c r="C101" s="660" t="s">
        <v>493</v>
      </c>
      <c r="D101" s="774">
        <v>1</v>
      </c>
      <c r="E101" s="773">
        <v>0.27</v>
      </c>
      <c r="F101" s="775">
        <v>1490000</v>
      </c>
      <c r="G101" s="662">
        <v>15</v>
      </c>
      <c r="H101" s="662">
        <f>D101*E101*F101*G101</f>
        <v>6034500</v>
      </c>
      <c r="I101" s="781"/>
      <c r="J101" s="779"/>
      <c r="K101" s="453"/>
      <c r="L101" s="741"/>
    </row>
    <row r="102" spans="1:12" ht="36.75" customHeight="1" x14ac:dyDescent="0.25">
      <c r="A102" s="1065"/>
      <c r="B102" s="1061"/>
      <c r="C102" s="660" t="s">
        <v>494</v>
      </c>
      <c r="D102" s="774">
        <v>1</v>
      </c>
      <c r="E102" s="730">
        <v>0.2</v>
      </c>
      <c r="F102" s="775">
        <v>1490000</v>
      </c>
      <c r="G102" s="776">
        <v>20</v>
      </c>
      <c r="H102" s="776">
        <f>D102*E102*F102*G102</f>
        <v>5960000</v>
      </c>
      <c r="I102" s="781"/>
      <c r="J102" s="779"/>
      <c r="K102" s="778"/>
      <c r="L102" s="741"/>
    </row>
    <row r="103" spans="1:12" ht="38.25" customHeight="1" x14ac:dyDescent="0.25">
      <c r="A103" s="1066"/>
      <c r="B103" s="1062"/>
      <c r="C103" s="659" t="s">
        <v>449</v>
      </c>
      <c r="D103" s="719"/>
      <c r="E103" s="720"/>
      <c r="F103" s="739"/>
      <c r="G103" s="639">
        <f>(D102*G102)+(D101*G101)</f>
        <v>35</v>
      </c>
      <c r="H103" s="663">
        <f>SUM(H101:H102)</f>
        <v>11994500</v>
      </c>
      <c r="I103" s="877">
        <f>H103</f>
        <v>11994500</v>
      </c>
      <c r="J103" s="723"/>
      <c r="K103" s="651"/>
    </row>
    <row r="104" spans="1:12" ht="55.5" customHeight="1" x14ac:dyDescent="0.25">
      <c r="A104" s="708" t="s">
        <v>466</v>
      </c>
      <c r="B104" s="701" t="s">
        <v>628</v>
      </c>
      <c r="C104" s="704"/>
      <c r="D104" s="704"/>
      <c r="E104" s="701"/>
      <c r="F104" s="731"/>
      <c r="G104" s="707">
        <f>(D105*G105)+(D106*G106)+G109+(G110*D110)</f>
        <v>125</v>
      </c>
      <c r="H104" s="703">
        <f>H105+H106+H109+H110</f>
        <v>48201500</v>
      </c>
      <c r="I104" s="748"/>
      <c r="J104" s="762">
        <f>H104</f>
        <v>48201500</v>
      </c>
      <c r="K104" s="706"/>
    </row>
    <row r="105" spans="1:12" ht="54.75" customHeight="1" x14ac:dyDescent="0.25">
      <c r="A105" s="647" t="s">
        <v>467</v>
      </c>
      <c r="B105" s="315" t="s">
        <v>534</v>
      </c>
      <c r="C105" s="653" t="s">
        <v>493</v>
      </c>
      <c r="D105" s="653">
        <v>2</v>
      </c>
      <c r="E105" s="315">
        <v>0.27</v>
      </c>
      <c r="F105" s="732">
        <v>1490000</v>
      </c>
      <c r="G105" s="667">
        <v>15</v>
      </c>
      <c r="H105" s="667">
        <f>D105*E105*F105*G105</f>
        <v>12069000</v>
      </c>
      <c r="I105" s="749"/>
      <c r="J105" s="765">
        <f>H105</f>
        <v>12069000</v>
      </c>
      <c r="K105" s="453"/>
      <c r="L105" s="741"/>
    </row>
    <row r="106" spans="1:12" ht="66.75" customHeight="1" x14ac:dyDescent="0.25">
      <c r="A106" s="647" t="s">
        <v>468</v>
      </c>
      <c r="B106" s="315" t="s">
        <v>629</v>
      </c>
      <c r="C106" s="653" t="s">
        <v>493</v>
      </c>
      <c r="D106" s="653">
        <v>2</v>
      </c>
      <c r="E106" s="315">
        <v>0.27</v>
      </c>
      <c r="F106" s="732">
        <v>1490000</v>
      </c>
      <c r="G106" s="667">
        <v>15</v>
      </c>
      <c r="H106" s="667">
        <f>D106*E106*F106*G106</f>
        <v>12069000</v>
      </c>
      <c r="I106" s="749"/>
      <c r="J106" s="765">
        <f>H106</f>
        <v>12069000</v>
      </c>
      <c r="K106" s="453"/>
      <c r="L106" s="741"/>
    </row>
    <row r="107" spans="1:12" ht="37.5" customHeight="1" x14ac:dyDescent="0.25">
      <c r="A107" s="1064" t="s">
        <v>469</v>
      </c>
      <c r="B107" s="1060" t="s">
        <v>630</v>
      </c>
      <c r="C107" s="653" t="s">
        <v>494</v>
      </c>
      <c r="D107" s="653">
        <v>1</v>
      </c>
      <c r="E107" s="652">
        <v>0.2</v>
      </c>
      <c r="F107" s="732">
        <v>1490000</v>
      </c>
      <c r="G107" s="662">
        <v>20</v>
      </c>
      <c r="H107" s="662">
        <f>E107*F107*G107*D107</f>
        <v>5960000</v>
      </c>
      <c r="I107" s="749"/>
      <c r="J107" s="907"/>
      <c r="K107" s="453"/>
      <c r="L107" s="741"/>
    </row>
    <row r="108" spans="1:12" ht="36" customHeight="1" x14ac:dyDescent="0.25">
      <c r="A108" s="1065"/>
      <c r="B108" s="1061"/>
      <c r="C108" s="653" t="s">
        <v>493</v>
      </c>
      <c r="D108" s="653">
        <v>1</v>
      </c>
      <c r="E108" s="652">
        <v>0.27</v>
      </c>
      <c r="F108" s="732">
        <v>1490000</v>
      </c>
      <c r="G108" s="662">
        <v>15</v>
      </c>
      <c r="H108" s="662">
        <f>E108*F108*G108*D108</f>
        <v>6034500</v>
      </c>
      <c r="I108" s="749"/>
      <c r="J108" s="907"/>
      <c r="K108" s="453"/>
      <c r="L108" s="741"/>
    </row>
    <row r="109" spans="1:12" ht="30.75" customHeight="1" x14ac:dyDescent="0.25">
      <c r="A109" s="1066"/>
      <c r="B109" s="1062"/>
      <c r="C109" s="648" t="s">
        <v>449</v>
      </c>
      <c r="D109" s="719"/>
      <c r="E109" s="666"/>
      <c r="F109" s="739"/>
      <c r="G109" s="667">
        <f>SUM(G107:G108)</f>
        <v>35</v>
      </c>
      <c r="H109" s="667">
        <f>SUM(H107:H108)</f>
        <v>11994500</v>
      </c>
      <c r="I109" s="749"/>
      <c r="J109" s="765">
        <f>H109</f>
        <v>11994500</v>
      </c>
      <c r="K109" s="453"/>
      <c r="L109" s="741"/>
    </row>
    <row r="110" spans="1:12" ht="63" x14ac:dyDescent="0.25">
      <c r="A110" s="770" t="s">
        <v>505</v>
      </c>
      <c r="B110" s="786" t="s">
        <v>631</v>
      </c>
      <c r="C110" s="774" t="s">
        <v>493</v>
      </c>
      <c r="D110" s="774">
        <v>2</v>
      </c>
      <c r="E110" s="798">
        <v>0.27</v>
      </c>
      <c r="F110" s="775">
        <v>1490000</v>
      </c>
      <c r="G110" s="667">
        <v>15</v>
      </c>
      <c r="H110" s="667">
        <f>D110*E110*F110*G110</f>
        <v>12069000</v>
      </c>
      <c r="I110" s="756"/>
      <c r="J110" s="908">
        <f>H110</f>
        <v>12069000</v>
      </c>
      <c r="K110" s="651"/>
      <c r="L110" s="741"/>
    </row>
    <row r="111" spans="1:12" ht="52.5" customHeight="1" x14ac:dyDescent="0.25">
      <c r="A111" s="708" t="s">
        <v>496</v>
      </c>
      <c r="B111" s="710" t="s">
        <v>632</v>
      </c>
      <c r="C111" s="704"/>
      <c r="D111" s="704"/>
      <c r="E111" s="708"/>
      <c r="F111" s="731"/>
      <c r="G111" s="707">
        <f>SUM(G114,G115)</f>
        <v>100</v>
      </c>
      <c r="H111" s="707">
        <f>SUM(H114,H115)</f>
        <v>43061000</v>
      </c>
      <c r="I111" s="748"/>
      <c r="J111" s="762">
        <f>H111</f>
        <v>43061000</v>
      </c>
      <c r="K111" s="708"/>
    </row>
    <row r="112" spans="1:12" ht="40.5" customHeight="1" x14ac:dyDescent="0.25">
      <c r="A112" s="1063" t="s">
        <v>497</v>
      </c>
      <c r="B112" s="1082" t="s">
        <v>633</v>
      </c>
      <c r="C112" s="653" t="s">
        <v>493</v>
      </c>
      <c r="D112" s="653">
        <v>1</v>
      </c>
      <c r="E112" s="652">
        <v>0.27</v>
      </c>
      <c r="F112" s="732">
        <v>1490000</v>
      </c>
      <c r="G112" s="662">
        <v>20</v>
      </c>
      <c r="H112" s="662">
        <f>D112*E112*F112*G112</f>
        <v>8046000</v>
      </c>
      <c r="I112" s="749"/>
      <c r="J112" s="656"/>
      <c r="K112" s="453"/>
      <c r="L112" s="741"/>
    </row>
    <row r="113" spans="1:12" ht="40.5" customHeight="1" x14ac:dyDescent="0.25">
      <c r="A113" s="1063"/>
      <c r="B113" s="1082"/>
      <c r="C113" s="653" t="s">
        <v>494</v>
      </c>
      <c r="D113" s="653">
        <v>1</v>
      </c>
      <c r="E113" s="652">
        <v>0.2</v>
      </c>
      <c r="F113" s="732">
        <v>1490000</v>
      </c>
      <c r="G113" s="662">
        <v>20</v>
      </c>
      <c r="H113" s="662">
        <f>D113*E113*F113*G113</f>
        <v>5960000</v>
      </c>
      <c r="I113" s="749"/>
      <c r="J113" s="656"/>
      <c r="K113" s="453"/>
      <c r="L113" s="741"/>
    </row>
    <row r="114" spans="1:12" ht="25.5" customHeight="1" x14ac:dyDescent="0.25">
      <c r="A114" s="1063"/>
      <c r="B114" s="1082"/>
      <c r="C114" s="648" t="s">
        <v>449</v>
      </c>
      <c r="D114" s="719"/>
      <c r="E114" s="666"/>
      <c r="F114" s="739"/>
      <c r="G114" s="667">
        <f>(D112*G112)+(D113*G113)</f>
        <v>40</v>
      </c>
      <c r="H114" s="667">
        <f>SUM(H112:H113)</f>
        <v>14006000</v>
      </c>
      <c r="I114" s="749"/>
      <c r="J114" s="765">
        <f>H114</f>
        <v>14006000</v>
      </c>
      <c r="K114" s="453"/>
    </row>
    <row r="115" spans="1:12" ht="60" customHeight="1" x14ac:dyDescent="0.25">
      <c r="A115" s="858" t="s">
        <v>498</v>
      </c>
      <c r="B115" s="855" t="s">
        <v>696</v>
      </c>
      <c r="C115" s="653"/>
      <c r="D115" s="653"/>
      <c r="E115" s="652"/>
      <c r="F115" s="732"/>
      <c r="G115" s="667">
        <f>SUM(G116:G119)</f>
        <v>60</v>
      </c>
      <c r="H115" s="667">
        <f>SUM(H116:H119)</f>
        <v>29055000</v>
      </c>
      <c r="I115" s="749"/>
      <c r="J115" s="765">
        <f>H115</f>
        <v>29055000</v>
      </c>
      <c r="K115" s="453"/>
      <c r="L115" s="741"/>
    </row>
    <row r="116" spans="1:12" ht="47.25" x14ac:dyDescent="0.25">
      <c r="A116" s="858" t="s">
        <v>604</v>
      </c>
      <c r="B116" s="927" t="s">
        <v>695</v>
      </c>
      <c r="C116" s="864" t="s">
        <v>492</v>
      </c>
      <c r="D116" s="864">
        <v>1</v>
      </c>
      <c r="E116" s="798">
        <v>0.49</v>
      </c>
      <c r="F116" s="866">
        <v>1490000</v>
      </c>
      <c r="G116" s="662">
        <v>15</v>
      </c>
      <c r="H116" s="662">
        <f t="shared" ref="H116:H117" si="2">D116*E116*F116*G116</f>
        <v>10951500</v>
      </c>
      <c r="I116" s="756"/>
      <c r="J116" s="799"/>
      <c r="K116" s="651"/>
      <c r="L116" s="741"/>
    </row>
    <row r="117" spans="1:12" ht="47.25" x14ac:dyDescent="0.25">
      <c r="A117" s="858" t="s">
        <v>604</v>
      </c>
      <c r="B117" s="855" t="s">
        <v>694</v>
      </c>
      <c r="C117" s="864" t="s">
        <v>493</v>
      </c>
      <c r="D117" s="864">
        <v>1</v>
      </c>
      <c r="E117" s="798">
        <v>0.27</v>
      </c>
      <c r="F117" s="866">
        <v>1490000</v>
      </c>
      <c r="G117" s="662">
        <v>15</v>
      </c>
      <c r="H117" s="662">
        <f t="shared" si="2"/>
        <v>6034500</v>
      </c>
      <c r="I117" s="756"/>
      <c r="J117" s="799"/>
      <c r="K117" s="651"/>
      <c r="L117" s="741"/>
    </row>
    <row r="118" spans="1:12" ht="63" x14ac:dyDescent="0.25">
      <c r="A118" s="858" t="s">
        <v>604</v>
      </c>
      <c r="B118" s="855" t="s">
        <v>698</v>
      </c>
      <c r="C118" s="864" t="s">
        <v>493</v>
      </c>
      <c r="D118" s="864">
        <v>1</v>
      </c>
      <c r="E118" s="798">
        <v>0.27</v>
      </c>
      <c r="F118" s="866">
        <v>1490000</v>
      </c>
      <c r="G118" s="662">
        <v>15</v>
      </c>
      <c r="H118" s="662">
        <f t="shared" ref="H118:H119" si="3">D118*E118*F118*G118</f>
        <v>6034500</v>
      </c>
      <c r="I118" s="756"/>
      <c r="J118" s="799"/>
      <c r="K118" s="651"/>
      <c r="L118" s="741"/>
    </row>
    <row r="119" spans="1:12" ht="47.25" x14ac:dyDescent="0.25">
      <c r="A119" s="858" t="s">
        <v>604</v>
      </c>
      <c r="B119" s="855" t="s">
        <v>697</v>
      </c>
      <c r="C119" s="864" t="s">
        <v>493</v>
      </c>
      <c r="D119" s="864">
        <v>1</v>
      </c>
      <c r="E119" s="798">
        <v>0.27</v>
      </c>
      <c r="F119" s="866">
        <v>1490000</v>
      </c>
      <c r="G119" s="662">
        <v>15</v>
      </c>
      <c r="H119" s="662">
        <f t="shared" si="3"/>
        <v>6034500</v>
      </c>
      <c r="I119" s="756"/>
      <c r="J119" s="799"/>
      <c r="K119" s="651"/>
      <c r="L119" s="741"/>
    </row>
    <row r="120" spans="1:12" s="646" customFormat="1" ht="87" customHeight="1" x14ac:dyDescent="0.25">
      <c r="A120" s="689">
        <v>4</v>
      </c>
      <c r="B120" s="690" t="s">
        <v>634</v>
      </c>
      <c r="C120" s="695"/>
      <c r="D120" s="668"/>
      <c r="E120" s="696"/>
      <c r="F120" s="738"/>
      <c r="G120" s="699">
        <f>G121+G165</f>
        <v>950</v>
      </c>
      <c r="H120" s="699">
        <f>SUM(H121,H165)</f>
        <v>357749000</v>
      </c>
      <c r="I120" s="755"/>
      <c r="J120" s="763">
        <f>H120</f>
        <v>357749000</v>
      </c>
      <c r="K120" s="698"/>
    </row>
    <row r="121" spans="1:12" ht="75" customHeight="1" x14ac:dyDescent="0.25">
      <c r="A121" s="708" t="s">
        <v>374</v>
      </c>
      <c r="B121" s="701" t="s">
        <v>635</v>
      </c>
      <c r="C121" s="708"/>
      <c r="D121" s="708"/>
      <c r="E121" s="700"/>
      <c r="F121" s="725"/>
      <c r="G121" s="709">
        <f>SUM(G122,G132,G142,G152,G164)</f>
        <v>470</v>
      </c>
      <c r="H121" s="709">
        <f>SUM(H122,H132,H142,H152,H164)</f>
        <v>176863000</v>
      </c>
      <c r="I121" s="748"/>
      <c r="J121" s="762">
        <f>H121</f>
        <v>176863000</v>
      </c>
      <c r="K121" s="911"/>
    </row>
    <row r="122" spans="1:12" ht="72" customHeight="1" x14ac:dyDescent="0.25">
      <c r="A122" s="858" t="s">
        <v>376</v>
      </c>
      <c r="B122" s="857" t="s">
        <v>636</v>
      </c>
      <c r="C122" s="864"/>
      <c r="D122" s="864"/>
      <c r="E122" s="865"/>
      <c r="F122" s="866"/>
      <c r="G122" s="785">
        <f>G125+G128+G131</f>
        <v>105</v>
      </c>
      <c r="H122" s="785">
        <f>H125+H128+H131</f>
        <v>37548000</v>
      </c>
      <c r="I122" s="867"/>
      <c r="J122" s="765">
        <f>H122</f>
        <v>37548000</v>
      </c>
      <c r="K122" s="862"/>
      <c r="L122" s="741"/>
    </row>
    <row r="123" spans="1:12" ht="34.5" customHeight="1" x14ac:dyDescent="0.25">
      <c r="A123" s="1064" t="s">
        <v>604</v>
      </c>
      <c r="B123" s="1060" t="s">
        <v>673</v>
      </c>
      <c r="C123" s="853" t="s">
        <v>493</v>
      </c>
      <c r="D123" s="864">
        <v>1</v>
      </c>
      <c r="E123" s="798">
        <v>0.27</v>
      </c>
      <c r="F123" s="866">
        <v>1490000</v>
      </c>
      <c r="G123" s="662">
        <v>20</v>
      </c>
      <c r="H123" s="662">
        <f t="shared" ref="H123:H124" si="4">D123*E123*F123*G123</f>
        <v>8046000</v>
      </c>
      <c r="I123" s="756"/>
      <c r="J123" s="908"/>
      <c r="K123" s="651"/>
      <c r="L123" s="741"/>
    </row>
    <row r="124" spans="1:12" ht="34.5" customHeight="1" x14ac:dyDescent="0.25">
      <c r="A124" s="1065"/>
      <c r="B124" s="1061"/>
      <c r="C124" s="853" t="s">
        <v>494</v>
      </c>
      <c r="D124" s="864">
        <v>1</v>
      </c>
      <c r="E124" s="798">
        <v>0.2</v>
      </c>
      <c r="F124" s="866">
        <v>1490000</v>
      </c>
      <c r="G124" s="662">
        <v>15</v>
      </c>
      <c r="H124" s="662">
        <f t="shared" si="4"/>
        <v>4470000</v>
      </c>
      <c r="I124" s="756"/>
      <c r="J124" s="908"/>
      <c r="K124" s="651"/>
      <c r="L124" s="741"/>
    </row>
    <row r="125" spans="1:12" ht="34.5" customHeight="1" x14ac:dyDescent="0.25">
      <c r="A125" s="1066"/>
      <c r="B125" s="1062"/>
      <c r="C125" s="648" t="s">
        <v>449</v>
      </c>
      <c r="D125" s="719"/>
      <c r="E125" s="666"/>
      <c r="F125" s="739"/>
      <c r="G125" s="667">
        <f>(D123*G123)+(D124*G124)</f>
        <v>35</v>
      </c>
      <c r="H125" s="667">
        <f>SUM(H123:H124)</f>
        <v>12516000</v>
      </c>
      <c r="I125" s="756"/>
      <c r="J125" s="908">
        <f>H125</f>
        <v>12516000</v>
      </c>
      <c r="K125" s="651"/>
    </row>
    <row r="126" spans="1:12" ht="47.25" customHeight="1" x14ac:dyDescent="0.25">
      <c r="A126" s="1064" t="s">
        <v>604</v>
      </c>
      <c r="B126" s="1060" t="s">
        <v>674</v>
      </c>
      <c r="C126" s="853" t="s">
        <v>493</v>
      </c>
      <c r="D126" s="864">
        <v>1</v>
      </c>
      <c r="E126" s="798">
        <v>0.27</v>
      </c>
      <c r="F126" s="866">
        <v>1490000</v>
      </c>
      <c r="G126" s="662">
        <v>20</v>
      </c>
      <c r="H126" s="662">
        <f t="shared" ref="H126:H127" si="5">D126*E126*F126*G126</f>
        <v>8046000</v>
      </c>
      <c r="I126" s="756"/>
      <c r="J126" s="908"/>
      <c r="K126" s="651"/>
      <c r="L126" s="741"/>
    </row>
    <row r="127" spans="1:12" ht="22.5" customHeight="1" x14ac:dyDescent="0.25">
      <c r="A127" s="1065"/>
      <c r="B127" s="1061"/>
      <c r="C127" s="853" t="s">
        <v>494</v>
      </c>
      <c r="D127" s="864">
        <v>1</v>
      </c>
      <c r="E127" s="798">
        <v>0.2</v>
      </c>
      <c r="F127" s="866">
        <v>1490000</v>
      </c>
      <c r="G127" s="662">
        <v>15</v>
      </c>
      <c r="H127" s="662">
        <f t="shared" si="5"/>
        <v>4470000</v>
      </c>
      <c r="I127" s="756"/>
      <c r="J127" s="908"/>
      <c r="K127" s="651"/>
      <c r="L127" s="741"/>
    </row>
    <row r="128" spans="1:12" ht="26.25" customHeight="1" x14ac:dyDescent="0.25">
      <c r="A128" s="1066"/>
      <c r="B128" s="1062"/>
      <c r="C128" s="648" t="s">
        <v>449</v>
      </c>
      <c r="D128" s="719"/>
      <c r="E128" s="666"/>
      <c r="F128" s="739"/>
      <c r="G128" s="667">
        <f>(D126*G126)+(D127*G127)</f>
        <v>35</v>
      </c>
      <c r="H128" s="667">
        <f>SUM(H126:H127)</f>
        <v>12516000</v>
      </c>
      <c r="I128" s="756"/>
      <c r="J128" s="908">
        <f>H128</f>
        <v>12516000</v>
      </c>
      <c r="K128" s="651"/>
    </row>
    <row r="129" spans="1:12" ht="63" customHeight="1" x14ac:dyDescent="0.25">
      <c r="A129" s="1064" t="s">
        <v>604</v>
      </c>
      <c r="B129" s="1060" t="s">
        <v>678</v>
      </c>
      <c r="C129" s="853" t="s">
        <v>493</v>
      </c>
      <c r="D129" s="864">
        <v>1</v>
      </c>
      <c r="E129" s="798">
        <v>0.27</v>
      </c>
      <c r="F129" s="866">
        <v>1490000</v>
      </c>
      <c r="G129" s="662">
        <v>20</v>
      </c>
      <c r="H129" s="662">
        <f t="shared" ref="H129" si="6">D129*E129*F129*G129</f>
        <v>8046000</v>
      </c>
      <c r="I129" s="756"/>
      <c r="J129" s="908"/>
      <c r="K129" s="651"/>
      <c r="L129" s="741"/>
    </row>
    <row r="130" spans="1:12" ht="28.5" customHeight="1" x14ac:dyDescent="0.25">
      <c r="A130" s="1065"/>
      <c r="B130" s="1061"/>
      <c r="C130" s="853" t="s">
        <v>494</v>
      </c>
      <c r="D130" s="864">
        <v>1</v>
      </c>
      <c r="E130" s="798">
        <v>0.2</v>
      </c>
      <c r="F130" s="866">
        <v>1490000</v>
      </c>
      <c r="G130" s="662">
        <v>15</v>
      </c>
      <c r="H130" s="662">
        <f t="shared" ref="H130" si="7">D130*E130*F130*G130</f>
        <v>4470000</v>
      </c>
      <c r="I130" s="756"/>
      <c r="J130" s="908"/>
      <c r="K130" s="651"/>
      <c r="L130" s="741"/>
    </row>
    <row r="131" spans="1:12" ht="26.25" customHeight="1" x14ac:dyDescent="0.25">
      <c r="A131" s="1066"/>
      <c r="B131" s="1062"/>
      <c r="C131" s="648" t="s">
        <v>449</v>
      </c>
      <c r="D131" s="719"/>
      <c r="E131" s="666"/>
      <c r="F131" s="739"/>
      <c r="G131" s="667">
        <f>(D129*G129)+(D130*G130)</f>
        <v>35</v>
      </c>
      <c r="H131" s="667">
        <f>SUM(H129:H130)</f>
        <v>12516000</v>
      </c>
      <c r="I131" s="756"/>
      <c r="J131" s="908">
        <f>H131</f>
        <v>12516000</v>
      </c>
      <c r="K131" s="651"/>
    </row>
    <row r="132" spans="1:12" ht="63" x14ac:dyDescent="0.25">
      <c r="A132" s="858" t="s">
        <v>375</v>
      </c>
      <c r="B132" s="857" t="s">
        <v>637</v>
      </c>
      <c r="C132" s="653"/>
      <c r="D132" s="653"/>
      <c r="E132" s="315"/>
      <c r="F132" s="732"/>
      <c r="G132" s="785">
        <f>G135+G138+G141</f>
        <v>105</v>
      </c>
      <c r="H132" s="663">
        <f>H135+H138+H141</f>
        <v>44104000</v>
      </c>
      <c r="I132" s="749"/>
      <c r="J132" s="765">
        <f>H132</f>
        <v>44104000</v>
      </c>
      <c r="K132" s="453"/>
      <c r="L132" s="741"/>
    </row>
    <row r="133" spans="1:12" ht="36.75" customHeight="1" x14ac:dyDescent="0.25">
      <c r="A133" s="1063" t="s">
        <v>604</v>
      </c>
      <c r="B133" s="1060" t="s">
        <v>675</v>
      </c>
      <c r="C133" s="853" t="s">
        <v>493</v>
      </c>
      <c r="D133" s="864">
        <v>1</v>
      </c>
      <c r="E133" s="798">
        <v>0.27</v>
      </c>
      <c r="F133" s="866">
        <v>1490000</v>
      </c>
      <c r="G133" s="662">
        <v>20</v>
      </c>
      <c r="H133" s="662">
        <f t="shared" ref="H133:H134" si="8">D133*E133*F133*G133</f>
        <v>8046000</v>
      </c>
      <c r="I133" s="756"/>
      <c r="J133" s="908"/>
      <c r="K133" s="651"/>
      <c r="L133" s="741"/>
    </row>
    <row r="134" spans="1:12" ht="36.75" customHeight="1" x14ac:dyDescent="0.25">
      <c r="A134" s="1063"/>
      <c r="B134" s="1061"/>
      <c r="C134" s="853" t="s">
        <v>494</v>
      </c>
      <c r="D134" s="864">
        <v>1</v>
      </c>
      <c r="E134" s="798">
        <v>0.2</v>
      </c>
      <c r="F134" s="866">
        <v>1490000</v>
      </c>
      <c r="G134" s="662">
        <v>15</v>
      </c>
      <c r="H134" s="662">
        <f t="shared" si="8"/>
        <v>4470000</v>
      </c>
      <c r="I134" s="756"/>
      <c r="J134" s="908"/>
      <c r="K134" s="651"/>
      <c r="L134" s="741"/>
    </row>
    <row r="135" spans="1:12" ht="36.75" customHeight="1" x14ac:dyDescent="0.25">
      <c r="A135" s="1063"/>
      <c r="B135" s="1062"/>
      <c r="C135" s="648" t="s">
        <v>449</v>
      </c>
      <c r="D135" s="719"/>
      <c r="E135" s="666"/>
      <c r="F135" s="739"/>
      <c r="G135" s="667">
        <f>(D133*G133)+(D134*G134)</f>
        <v>35</v>
      </c>
      <c r="H135" s="667">
        <f>SUM(H133:H134)</f>
        <v>12516000</v>
      </c>
      <c r="I135" s="756"/>
      <c r="J135" s="908">
        <f>H135</f>
        <v>12516000</v>
      </c>
      <c r="K135" s="651"/>
    </row>
    <row r="136" spans="1:12" ht="47.25" customHeight="1" x14ac:dyDescent="0.25">
      <c r="A136" s="1063" t="s">
        <v>604</v>
      </c>
      <c r="B136" s="1060" t="s">
        <v>676</v>
      </c>
      <c r="C136" s="853" t="s">
        <v>492</v>
      </c>
      <c r="D136" s="864">
        <v>1</v>
      </c>
      <c r="E136" s="798">
        <v>0.49</v>
      </c>
      <c r="F136" s="866">
        <v>1490000</v>
      </c>
      <c r="G136" s="662">
        <v>20</v>
      </c>
      <c r="H136" s="662">
        <f t="shared" ref="H136:H137" si="9">D136*E136*F136*G136</f>
        <v>14602000</v>
      </c>
      <c r="I136" s="756"/>
      <c r="J136" s="908"/>
      <c r="K136" s="651"/>
    </row>
    <row r="137" spans="1:12" ht="28.5" customHeight="1" x14ac:dyDescent="0.25">
      <c r="A137" s="1063"/>
      <c r="B137" s="1061"/>
      <c r="C137" s="853" t="s">
        <v>494</v>
      </c>
      <c r="D137" s="864">
        <v>1</v>
      </c>
      <c r="E137" s="798">
        <v>0.2</v>
      </c>
      <c r="F137" s="866">
        <v>1490000</v>
      </c>
      <c r="G137" s="662">
        <v>15</v>
      </c>
      <c r="H137" s="662">
        <f t="shared" si="9"/>
        <v>4470000</v>
      </c>
      <c r="I137" s="756"/>
      <c r="J137" s="908"/>
      <c r="K137" s="651"/>
      <c r="L137" s="741"/>
    </row>
    <row r="138" spans="1:12" ht="39" customHeight="1" x14ac:dyDescent="0.25">
      <c r="A138" s="1063"/>
      <c r="B138" s="1062"/>
      <c r="C138" s="648" t="s">
        <v>449</v>
      </c>
      <c r="D138" s="719"/>
      <c r="E138" s="666"/>
      <c r="F138" s="739"/>
      <c r="G138" s="667">
        <f>(D136*G136)+(D137*G137)</f>
        <v>35</v>
      </c>
      <c r="H138" s="667">
        <f>SUM(H136:H137)</f>
        <v>19072000</v>
      </c>
      <c r="I138" s="756"/>
      <c r="J138" s="908">
        <f>H138</f>
        <v>19072000</v>
      </c>
      <c r="K138" s="651"/>
    </row>
    <row r="139" spans="1:12" ht="45" customHeight="1" x14ac:dyDescent="0.25">
      <c r="A139" s="1064" t="s">
        <v>604</v>
      </c>
      <c r="B139" s="1060" t="s">
        <v>677</v>
      </c>
      <c r="C139" s="853" t="s">
        <v>493</v>
      </c>
      <c r="D139" s="864">
        <v>1</v>
      </c>
      <c r="E139" s="798">
        <v>0.27</v>
      </c>
      <c r="F139" s="866">
        <v>1490000</v>
      </c>
      <c r="G139" s="662">
        <v>20</v>
      </c>
      <c r="H139" s="662">
        <f t="shared" ref="H139:H140" si="10">D139*E139*F139*G139</f>
        <v>8046000</v>
      </c>
      <c r="I139" s="756"/>
      <c r="J139" s="908"/>
      <c r="K139" s="651"/>
      <c r="L139" s="741"/>
    </row>
    <row r="140" spans="1:12" ht="30" customHeight="1" x14ac:dyDescent="0.25">
      <c r="A140" s="1065"/>
      <c r="B140" s="1061"/>
      <c r="C140" s="853" t="s">
        <v>494</v>
      </c>
      <c r="D140" s="864">
        <v>1</v>
      </c>
      <c r="E140" s="798">
        <v>0.2</v>
      </c>
      <c r="F140" s="866">
        <v>1490000</v>
      </c>
      <c r="G140" s="662">
        <v>15</v>
      </c>
      <c r="H140" s="662">
        <f t="shared" si="10"/>
        <v>4470000</v>
      </c>
      <c r="I140" s="756"/>
      <c r="J140" s="908"/>
      <c r="K140" s="651"/>
      <c r="L140" s="741"/>
    </row>
    <row r="141" spans="1:12" ht="28.5" customHeight="1" x14ac:dyDescent="0.25">
      <c r="A141" s="1066"/>
      <c r="B141" s="1062"/>
      <c r="C141" s="648" t="s">
        <v>449</v>
      </c>
      <c r="D141" s="719"/>
      <c r="E141" s="666"/>
      <c r="F141" s="739"/>
      <c r="G141" s="667">
        <f>(D139*G139)+(D140*G140)</f>
        <v>35</v>
      </c>
      <c r="H141" s="667">
        <f>SUM(H139:H140)</f>
        <v>12516000</v>
      </c>
      <c r="I141" s="756"/>
      <c r="J141" s="908">
        <f>H141</f>
        <v>12516000</v>
      </c>
      <c r="K141" s="651"/>
    </row>
    <row r="142" spans="1:12" ht="63" x14ac:dyDescent="0.25">
      <c r="A142" s="858" t="s">
        <v>535</v>
      </c>
      <c r="B142" s="881" t="s">
        <v>638</v>
      </c>
      <c r="C142" s="659"/>
      <c r="D142" s="797"/>
      <c r="E142" s="798"/>
      <c r="F142" s="641"/>
      <c r="G142" s="667">
        <f>G145+G148+G151</f>
        <v>105</v>
      </c>
      <c r="H142" s="639">
        <f>H145+H148+H151</f>
        <v>37548000</v>
      </c>
      <c r="I142" s="756"/>
      <c r="J142" s="908">
        <f>H142</f>
        <v>37548000</v>
      </c>
      <c r="K142" s="651"/>
    </row>
    <row r="143" spans="1:12" ht="31.5" customHeight="1" x14ac:dyDescent="0.25">
      <c r="A143" s="1064" t="s">
        <v>604</v>
      </c>
      <c r="B143" s="1060" t="s">
        <v>679</v>
      </c>
      <c r="C143" s="853" t="s">
        <v>493</v>
      </c>
      <c r="D143" s="864">
        <v>1</v>
      </c>
      <c r="E143" s="798">
        <v>0.27</v>
      </c>
      <c r="F143" s="866">
        <v>1490000</v>
      </c>
      <c r="G143" s="662">
        <v>20</v>
      </c>
      <c r="H143" s="662">
        <f t="shared" ref="H143:H144" si="11">D143*E143*F143*G143</f>
        <v>8046000</v>
      </c>
      <c r="I143" s="867"/>
      <c r="J143" s="764"/>
      <c r="K143" s="453"/>
      <c r="L143" s="741"/>
    </row>
    <row r="144" spans="1:12" ht="31.5" customHeight="1" x14ac:dyDescent="0.25">
      <c r="A144" s="1065"/>
      <c r="B144" s="1061"/>
      <c r="C144" s="853" t="s">
        <v>494</v>
      </c>
      <c r="D144" s="864">
        <v>1</v>
      </c>
      <c r="E144" s="798">
        <v>0.2</v>
      </c>
      <c r="F144" s="866">
        <v>1490000</v>
      </c>
      <c r="G144" s="662">
        <v>15</v>
      </c>
      <c r="H144" s="662">
        <f t="shared" si="11"/>
        <v>4470000</v>
      </c>
      <c r="I144" s="867"/>
      <c r="J144" s="764"/>
      <c r="K144" s="453"/>
      <c r="L144" s="741"/>
    </row>
    <row r="145" spans="1:12" ht="31.5" customHeight="1" x14ac:dyDescent="0.25">
      <c r="A145" s="1066"/>
      <c r="B145" s="1062"/>
      <c r="C145" s="648" t="s">
        <v>449</v>
      </c>
      <c r="D145" s="719"/>
      <c r="E145" s="666"/>
      <c r="F145" s="739"/>
      <c r="G145" s="667">
        <f>(D143*G143)+(D144*G144)</f>
        <v>35</v>
      </c>
      <c r="H145" s="667">
        <f>SUM(H143:H144)</f>
        <v>12516000</v>
      </c>
      <c r="I145" s="867"/>
      <c r="J145" s="765">
        <f>H145</f>
        <v>12516000</v>
      </c>
      <c r="K145" s="453"/>
    </row>
    <row r="146" spans="1:12" ht="39" customHeight="1" x14ac:dyDescent="0.25">
      <c r="A146" s="1064" t="s">
        <v>604</v>
      </c>
      <c r="B146" s="1060" t="s">
        <v>680</v>
      </c>
      <c r="C146" s="853" t="s">
        <v>495</v>
      </c>
      <c r="D146" s="864">
        <v>1</v>
      </c>
      <c r="E146" s="798">
        <v>0.27</v>
      </c>
      <c r="F146" s="866">
        <v>1490000</v>
      </c>
      <c r="G146" s="662">
        <v>20</v>
      </c>
      <c r="H146" s="662">
        <f t="shared" ref="H146:H147" si="12">D146*E146*F146*G146</f>
        <v>8046000</v>
      </c>
      <c r="I146" s="867"/>
      <c r="J146" s="765"/>
      <c r="K146" s="453"/>
    </row>
    <row r="147" spans="1:12" ht="30" customHeight="1" x14ac:dyDescent="0.25">
      <c r="A147" s="1065"/>
      <c r="B147" s="1061"/>
      <c r="C147" s="853" t="s">
        <v>494</v>
      </c>
      <c r="D147" s="864">
        <v>1</v>
      </c>
      <c r="E147" s="798">
        <v>0.2</v>
      </c>
      <c r="F147" s="866">
        <v>1490000</v>
      </c>
      <c r="G147" s="662">
        <v>15</v>
      </c>
      <c r="H147" s="662">
        <f t="shared" si="12"/>
        <v>4470000</v>
      </c>
      <c r="I147" s="867"/>
      <c r="J147" s="765"/>
      <c r="K147" s="453"/>
      <c r="L147" s="741"/>
    </row>
    <row r="148" spans="1:12" ht="23.25" customHeight="1" x14ac:dyDescent="0.25">
      <c r="A148" s="1066"/>
      <c r="B148" s="1062"/>
      <c r="C148" s="648" t="s">
        <v>449</v>
      </c>
      <c r="D148" s="719"/>
      <c r="E148" s="666"/>
      <c r="F148" s="739"/>
      <c r="G148" s="667">
        <f>(D146*G146)+(D147*G147)</f>
        <v>35</v>
      </c>
      <c r="H148" s="667">
        <f>SUM(H146:H147)</f>
        <v>12516000</v>
      </c>
      <c r="I148" s="867"/>
      <c r="J148" s="765">
        <f>H148</f>
        <v>12516000</v>
      </c>
      <c r="K148" s="453"/>
    </row>
    <row r="149" spans="1:12" ht="43.5" customHeight="1" x14ac:dyDescent="0.25">
      <c r="A149" s="1064" t="s">
        <v>604</v>
      </c>
      <c r="B149" s="1060" t="s">
        <v>681</v>
      </c>
      <c r="C149" s="853" t="s">
        <v>493</v>
      </c>
      <c r="D149" s="864">
        <v>1</v>
      </c>
      <c r="E149" s="798">
        <v>0.27</v>
      </c>
      <c r="F149" s="866">
        <v>1490000</v>
      </c>
      <c r="G149" s="662">
        <v>20</v>
      </c>
      <c r="H149" s="662">
        <f t="shared" ref="H149:H150" si="13">D149*E149*F149*G149</f>
        <v>8046000</v>
      </c>
      <c r="I149" s="867"/>
      <c r="J149" s="765"/>
      <c r="K149" s="453"/>
      <c r="L149" s="741"/>
    </row>
    <row r="150" spans="1:12" ht="23.25" customHeight="1" x14ac:dyDescent="0.25">
      <c r="A150" s="1065"/>
      <c r="B150" s="1061"/>
      <c r="C150" s="853" t="s">
        <v>494</v>
      </c>
      <c r="D150" s="864">
        <v>1</v>
      </c>
      <c r="E150" s="798">
        <v>0.2</v>
      </c>
      <c r="F150" s="866">
        <v>1490000</v>
      </c>
      <c r="G150" s="662">
        <v>15</v>
      </c>
      <c r="H150" s="662">
        <f t="shared" si="13"/>
        <v>4470000</v>
      </c>
      <c r="I150" s="867"/>
      <c r="J150" s="765"/>
      <c r="K150" s="453"/>
      <c r="L150" s="741"/>
    </row>
    <row r="151" spans="1:12" ht="30" customHeight="1" x14ac:dyDescent="0.25">
      <c r="A151" s="1066"/>
      <c r="B151" s="1062"/>
      <c r="C151" s="648" t="s">
        <v>449</v>
      </c>
      <c r="D151" s="719"/>
      <c r="E151" s="666"/>
      <c r="F151" s="739"/>
      <c r="G151" s="667">
        <f>(D149*G149)+(D150*G150)</f>
        <v>35</v>
      </c>
      <c r="H151" s="667">
        <f>SUM(H149:H150)</f>
        <v>12516000</v>
      </c>
      <c r="I151" s="867"/>
      <c r="J151" s="765">
        <f>H151</f>
        <v>12516000</v>
      </c>
      <c r="K151" s="453"/>
    </row>
    <row r="152" spans="1:12" ht="72" customHeight="1" x14ac:dyDescent="0.25">
      <c r="A152" s="849" t="s">
        <v>639</v>
      </c>
      <c r="B152" s="881" t="s">
        <v>640</v>
      </c>
      <c r="C152" s="659"/>
      <c r="D152" s="797"/>
      <c r="E152" s="798"/>
      <c r="F152" s="641"/>
      <c r="G152" s="667">
        <f>G155+G158+G161</f>
        <v>105</v>
      </c>
      <c r="H152" s="639">
        <f>H155+H158+H161</f>
        <v>37548000</v>
      </c>
      <c r="I152" s="756"/>
      <c r="J152" s="908">
        <f>H152</f>
        <v>37548000</v>
      </c>
      <c r="K152" s="651"/>
    </row>
    <row r="153" spans="1:12" ht="39" customHeight="1" x14ac:dyDescent="0.25">
      <c r="A153" s="1064" t="s">
        <v>604</v>
      </c>
      <c r="B153" s="1060" t="s">
        <v>682</v>
      </c>
      <c r="C153" s="853" t="s">
        <v>493</v>
      </c>
      <c r="D153" s="864">
        <v>1</v>
      </c>
      <c r="E153" s="798">
        <v>0.27</v>
      </c>
      <c r="F153" s="866">
        <v>1490000</v>
      </c>
      <c r="G153" s="662">
        <v>20</v>
      </c>
      <c r="H153" s="662">
        <f t="shared" ref="H153:H154" si="14">D153*E153*F153*G153</f>
        <v>8046000</v>
      </c>
      <c r="I153" s="867"/>
      <c r="J153" s="765"/>
      <c r="K153" s="453"/>
      <c r="L153" s="741"/>
    </row>
    <row r="154" spans="1:12" ht="42" customHeight="1" x14ac:dyDescent="0.25">
      <c r="A154" s="1065"/>
      <c r="B154" s="1061"/>
      <c r="C154" s="853" t="s">
        <v>494</v>
      </c>
      <c r="D154" s="864">
        <v>1</v>
      </c>
      <c r="E154" s="798">
        <v>0.2</v>
      </c>
      <c r="F154" s="866">
        <v>1490000</v>
      </c>
      <c r="G154" s="662">
        <v>15</v>
      </c>
      <c r="H154" s="662">
        <f t="shared" si="14"/>
        <v>4470000</v>
      </c>
      <c r="I154" s="867"/>
      <c r="J154" s="765"/>
      <c r="K154" s="453"/>
      <c r="L154" s="741"/>
    </row>
    <row r="155" spans="1:12" ht="30" customHeight="1" x14ac:dyDescent="0.25">
      <c r="A155" s="1066"/>
      <c r="B155" s="1062"/>
      <c r="C155" s="648" t="s">
        <v>449</v>
      </c>
      <c r="D155" s="719"/>
      <c r="E155" s="666"/>
      <c r="F155" s="739"/>
      <c r="G155" s="667">
        <f>(D153*G153)+(D154*G154)</f>
        <v>35</v>
      </c>
      <c r="H155" s="667">
        <f>SUM(H153:H154)</f>
        <v>12516000</v>
      </c>
      <c r="I155" s="867"/>
      <c r="J155" s="765">
        <f>H155</f>
        <v>12516000</v>
      </c>
      <c r="K155" s="453"/>
    </row>
    <row r="156" spans="1:12" ht="35.25" customHeight="1" x14ac:dyDescent="0.25">
      <c r="A156" s="1064" t="s">
        <v>604</v>
      </c>
      <c r="B156" s="1060" t="s">
        <v>683</v>
      </c>
      <c r="C156" s="853" t="s">
        <v>493</v>
      </c>
      <c r="D156" s="864">
        <v>1</v>
      </c>
      <c r="E156" s="798">
        <v>0.27</v>
      </c>
      <c r="F156" s="866">
        <v>1490000</v>
      </c>
      <c r="G156" s="662">
        <v>20</v>
      </c>
      <c r="H156" s="662">
        <f t="shared" ref="H156:H157" si="15">D156*E156*F156*G156</f>
        <v>8046000</v>
      </c>
      <c r="I156" s="867"/>
      <c r="J156" s="765"/>
      <c r="K156" s="453"/>
      <c r="L156" s="741"/>
    </row>
    <row r="157" spans="1:12" ht="37.5" customHeight="1" x14ac:dyDescent="0.25">
      <c r="A157" s="1065"/>
      <c r="B157" s="1061"/>
      <c r="C157" s="853" t="s">
        <v>494</v>
      </c>
      <c r="D157" s="864">
        <v>1</v>
      </c>
      <c r="E157" s="798">
        <v>0.2</v>
      </c>
      <c r="F157" s="866">
        <v>1490000</v>
      </c>
      <c r="G157" s="662">
        <v>15</v>
      </c>
      <c r="H157" s="662">
        <f t="shared" si="15"/>
        <v>4470000</v>
      </c>
      <c r="I157" s="867"/>
      <c r="J157" s="765"/>
      <c r="K157" s="453"/>
      <c r="L157" s="741"/>
    </row>
    <row r="158" spans="1:12" ht="39.75" customHeight="1" x14ac:dyDescent="0.25">
      <c r="A158" s="1066"/>
      <c r="B158" s="1062"/>
      <c r="C158" s="648" t="s">
        <v>449</v>
      </c>
      <c r="D158" s="719"/>
      <c r="E158" s="666"/>
      <c r="F158" s="739"/>
      <c r="G158" s="667">
        <f>(D156*G156)+(D157*G157)</f>
        <v>35</v>
      </c>
      <c r="H158" s="667">
        <f>SUM(H156:H157)</f>
        <v>12516000</v>
      </c>
      <c r="I158" s="867"/>
      <c r="J158" s="765">
        <f>H158</f>
        <v>12516000</v>
      </c>
      <c r="K158" s="453"/>
    </row>
    <row r="159" spans="1:12" ht="45" customHeight="1" x14ac:dyDescent="0.25">
      <c r="A159" s="1064" t="s">
        <v>604</v>
      </c>
      <c r="B159" s="1060" t="s">
        <v>684</v>
      </c>
      <c r="C159" s="853" t="s">
        <v>493</v>
      </c>
      <c r="D159" s="864">
        <v>1</v>
      </c>
      <c r="E159" s="798">
        <v>0.27</v>
      </c>
      <c r="F159" s="866">
        <v>1490000</v>
      </c>
      <c r="G159" s="662">
        <v>20</v>
      </c>
      <c r="H159" s="662">
        <f t="shared" ref="H159:H160" si="16">D159*E159*F159*G159</f>
        <v>8046000</v>
      </c>
      <c r="I159" s="867"/>
      <c r="J159" s="765"/>
      <c r="K159" s="453"/>
      <c r="L159" s="741"/>
    </row>
    <row r="160" spans="1:12" ht="33.75" customHeight="1" x14ac:dyDescent="0.25">
      <c r="A160" s="1065"/>
      <c r="B160" s="1061"/>
      <c r="C160" s="853" t="s">
        <v>494</v>
      </c>
      <c r="D160" s="864">
        <v>1</v>
      </c>
      <c r="E160" s="798">
        <v>0.2</v>
      </c>
      <c r="F160" s="866">
        <v>1490000</v>
      </c>
      <c r="G160" s="662">
        <v>15</v>
      </c>
      <c r="H160" s="662">
        <f t="shared" si="16"/>
        <v>4470000</v>
      </c>
      <c r="I160" s="867"/>
      <c r="J160" s="765"/>
      <c r="K160" s="453"/>
      <c r="L160" s="741"/>
    </row>
    <row r="161" spans="1:92" ht="30.75" customHeight="1" x14ac:dyDescent="0.25">
      <c r="A161" s="1066"/>
      <c r="B161" s="1062"/>
      <c r="C161" s="648" t="s">
        <v>449</v>
      </c>
      <c r="D161" s="719"/>
      <c r="E161" s="666"/>
      <c r="F161" s="739"/>
      <c r="G161" s="667">
        <f>(D159*G159)+(D160*G160)</f>
        <v>35</v>
      </c>
      <c r="H161" s="667">
        <f>SUM(H159:H160)</f>
        <v>12516000</v>
      </c>
      <c r="I161" s="867"/>
      <c r="J161" s="765">
        <f>H161</f>
        <v>12516000</v>
      </c>
      <c r="K161" s="453"/>
    </row>
    <row r="162" spans="1:92" ht="35.25" customHeight="1" x14ac:dyDescent="0.25">
      <c r="A162" s="1064" t="s">
        <v>656</v>
      </c>
      <c r="B162" s="1060" t="s">
        <v>539</v>
      </c>
      <c r="C162" s="660" t="s">
        <v>493</v>
      </c>
      <c r="D162" s="660">
        <v>1</v>
      </c>
      <c r="E162" s="773">
        <v>0.27</v>
      </c>
      <c r="F162" s="775">
        <v>1490000</v>
      </c>
      <c r="G162" s="776">
        <v>25</v>
      </c>
      <c r="H162" s="664">
        <f>E162*F162*G162*D162</f>
        <v>10057500</v>
      </c>
      <c r="I162" s="756"/>
      <c r="J162" s="908"/>
      <c r="K162" s="651"/>
      <c r="L162" s="741"/>
    </row>
    <row r="163" spans="1:92" ht="33" customHeight="1" x14ac:dyDescent="0.25">
      <c r="A163" s="1065"/>
      <c r="B163" s="1061"/>
      <c r="C163" s="660" t="s">
        <v>495</v>
      </c>
      <c r="D163" s="660">
        <v>1</v>
      </c>
      <c r="E163" s="773">
        <v>0.27</v>
      </c>
      <c r="F163" s="775">
        <v>1490000</v>
      </c>
      <c r="G163" s="776">
        <v>25</v>
      </c>
      <c r="H163" s="664">
        <f>E163*F163*G163*D163</f>
        <v>10057500</v>
      </c>
      <c r="I163" s="756"/>
      <c r="J163" s="908"/>
      <c r="K163" s="651"/>
    </row>
    <row r="164" spans="1:92" ht="30" customHeight="1" x14ac:dyDescent="0.25">
      <c r="A164" s="1066"/>
      <c r="B164" s="1062"/>
      <c r="C164" s="659" t="s">
        <v>449</v>
      </c>
      <c r="D164" s="665"/>
      <c r="E164" s="666"/>
      <c r="F164" s="737"/>
      <c r="G164" s="667">
        <f>G162+G163</f>
        <v>50</v>
      </c>
      <c r="H164" s="639">
        <f>H162+H163</f>
        <v>20115000</v>
      </c>
      <c r="I164" s="756"/>
      <c r="J164" s="908">
        <f>H164</f>
        <v>20115000</v>
      </c>
      <c r="K164" s="651"/>
    </row>
    <row r="165" spans="1:92" s="649" customFormat="1" ht="59.25" customHeight="1" x14ac:dyDescent="0.25">
      <c r="A165" s="708" t="s">
        <v>377</v>
      </c>
      <c r="B165" s="710" t="s">
        <v>641</v>
      </c>
      <c r="C165" s="704"/>
      <c r="D165" s="704"/>
      <c r="E165" s="711"/>
      <c r="F165" s="731"/>
      <c r="G165" s="707">
        <f>G166+G179+G194+G195</f>
        <v>480</v>
      </c>
      <c r="H165" s="758">
        <f>H166+H179+H194+H195</f>
        <v>180886000</v>
      </c>
      <c r="I165" s="746"/>
      <c r="J165" s="766">
        <f>H165</f>
        <v>180886000</v>
      </c>
      <c r="K165" s="701"/>
      <c r="L165" s="792"/>
      <c r="M165" s="650"/>
      <c r="N165" s="650"/>
      <c r="O165" s="650"/>
      <c r="P165" s="650"/>
      <c r="Q165" s="650"/>
      <c r="R165" s="650"/>
      <c r="S165" s="650"/>
      <c r="T165" s="650"/>
      <c r="U165" s="650"/>
      <c r="V165" s="650"/>
      <c r="W165" s="650"/>
      <c r="X165" s="650"/>
      <c r="Y165" s="650"/>
      <c r="Z165" s="650"/>
      <c r="AA165" s="650"/>
      <c r="AB165" s="650"/>
      <c r="AC165" s="650"/>
      <c r="AD165" s="650"/>
      <c r="AE165" s="650"/>
      <c r="AF165" s="650"/>
      <c r="AG165" s="650"/>
      <c r="AH165" s="650"/>
      <c r="AI165" s="650"/>
      <c r="AJ165" s="650"/>
      <c r="AK165" s="650"/>
      <c r="AL165" s="650"/>
      <c r="AM165" s="650"/>
      <c r="AN165" s="650"/>
      <c r="AO165" s="650"/>
      <c r="AP165" s="650"/>
      <c r="AQ165" s="650"/>
      <c r="AR165" s="650"/>
      <c r="AS165" s="650"/>
      <c r="AT165" s="650"/>
      <c r="AU165" s="650"/>
      <c r="AV165" s="650"/>
      <c r="AW165" s="650"/>
      <c r="AX165" s="650"/>
      <c r="AY165" s="650"/>
      <c r="AZ165" s="650"/>
      <c r="BA165" s="650"/>
      <c r="BB165" s="650"/>
      <c r="BC165" s="650"/>
      <c r="BD165" s="650"/>
      <c r="BE165" s="650"/>
      <c r="BF165" s="650"/>
      <c r="BG165" s="650"/>
      <c r="BH165" s="650"/>
      <c r="BI165" s="650"/>
      <c r="BJ165" s="650"/>
      <c r="BK165" s="650"/>
      <c r="BL165" s="650"/>
      <c r="BM165" s="650"/>
      <c r="BN165" s="650"/>
      <c r="BO165" s="650"/>
      <c r="BP165" s="650"/>
      <c r="BQ165" s="650"/>
      <c r="BR165" s="650"/>
      <c r="BS165" s="650"/>
      <c r="BT165" s="650"/>
      <c r="BU165" s="650"/>
      <c r="BV165" s="650"/>
      <c r="BW165" s="650"/>
      <c r="BX165" s="650"/>
      <c r="BY165" s="650"/>
      <c r="BZ165" s="650"/>
      <c r="CA165" s="650"/>
      <c r="CB165" s="650"/>
      <c r="CC165" s="650"/>
      <c r="CD165" s="650"/>
      <c r="CE165" s="650"/>
      <c r="CF165" s="650"/>
      <c r="CG165" s="650"/>
      <c r="CH165" s="650"/>
      <c r="CI165" s="650"/>
      <c r="CJ165" s="650"/>
      <c r="CK165" s="650"/>
      <c r="CL165" s="650"/>
      <c r="CM165" s="650"/>
      <c r="CN165" s="650"/>
    </row>
    <row r="166" spans="1:92" s="649" customFormat="1" ht="54" customHeight="1" x14ac:dyDescent="0.25">
      <c r="A166" s="660" t="s">
        <v>536</v>
      </c>
      <c r="B166" s="854" t="s">
        <v>685</v>
      </c>
      <c r="C166" s="774"/>
      <c r="D166" s="774"/>
      <c r="E166" s="773"/>
      <c r="F166" s="775"/>
      <c r="G166" s="785">
        <f>G169+G172+G175+G178</f>
        <v>140</v>
      </c>
      <c r="H166" s="663">
        <f>H169+H172+H175+H178</f>
        <v>56620000</v>
      </c>
      <c r="I166" s="794"/>
      <c r="J166" s="795">
        <f>H166</f>
        <v>56620000</v>
      </c>
      <c r="K166" s="910"/>
      <c r="L166" s="741"/>
      <c r="M166" s="650"/>
      <c r="N166" s="650"/>
      <c r="O166" s="650"/>
      <c r="P166" s="650"/>
      <c r="Q166" s="650"/>
      <c r="R166" s="650"/>
      <c r="S166" s="650"/>
      <c r="T166" s="650"/>
      <c r="U166" s="650"/>
      <c r="V166" s="650"/>
      <c r="W166" s="650"/>
      <c r="X166" s="650"/>
      <c r="Y166" s="650"/>
      <c r="Z166" s="650"/>
      <c r="AA166" s="650"/>
      <c r="AB166" s="650"/>
      <c r="AC166" s="650"/>
      <c r="AD166" s="650"/>
      <c r="AE166" s="650"/>
      <c r="AF166" s="650"/>
      <c r="AG166" s="650"/>
      <c r="AH166" s="650"/>
      <c r="AI166" s="650"/>
      <c r="AJ166" s="650"/>
      <c r="AK166" s="650"/>
      <c r="AL166" s="650"/>
      <c r="AM166" s="650"/>
      <c r="AN166" s="650"/>
      <c r="AO166" s="650"/>
      <c r="AP166" s="650"/>
      <c r="AQ166" s="650"/>
      <c r="AR166" s="650"/>
      <c r="AS166" s="650"/>
      <c r="AT166" s="650"/>
      <c r="AU166" s="650"/>
      <c r="AV166" s="650"/>
      <c r="AW166" s="650"/>
      <c r="AX166" s="650"/>
      <c r="AY166" s="650"/>
      <c r="AZ166" s="650"/>
      <c r="BA166" s="650"/>
      <c r="BB166" s="650"/>
      <c r="BC166" s="650"/>
      <c r="BD166" s="650"/>
      <c r="BE166" s="650"/>
      <c r="BF166" s="650"/>
      <c r="BG166" s="650"/>
      <c r="BH166" s="650"/>
      <c r="BI166" s="650"/>
      <c r="BJ166" s="650"/>
      <c r="BK166" s="650"/>
      <c r="BL166" s="650"/>
      <c r="BM166" s="650"/>
      <c r="BN166" s="650"/>
      <c r="BO166" s="650"/>
      <c r="BP166" s="650"/>
      <c r="BQ166" s="650"/>
      <c r="BR166" s="650"/>
      <c r="BS166" s="650"/>
      <c r="BT166" s="650"/>
      <c r="BU166" s="650"/>
      <c r="BV166" s="650"/>
      <c r="BW166" s="650"/>
      <c r="BX166" s="650"/>
      <c r="BY166" s="650"/>
      <c r="BZ166" s="650"/>
      <c r="CA166" s="650"/>
      <c r="CB166" s="650"/>
      <c r="CC166" s="650"/>
      <c r="CD166" s="650"/>
      <c r="CE166" s="650"/>
      <c r="CF166" s="650"/>
      <c r="CG166" s="650"/>
      <c r="CH166" s="650"/>
      <c r="CI166" s="650"/>
      <c r="CJ166" s="650"/>
      <c r="CK166" s="650"/>
      <c r="CL166" s="650"/>
      <c r="CM166" s="650"/>
      <c r="CN166" s="650"/>
    </row>
    <row r="167" spans="1:92" s="649" customFormat="1" ht="32.25" customHeight="1" x14ac:dyDescent="0.25">
      <c r="A167" s="1064" t="s">
        <v>604</v>
      </c>
      <c r="B167" s="1060" t="s">
        <v>686</v>
      </c>
      <c r="C167" s="853" t="s">
        <v>493</v>
      </c>
      <c r="D167" s="864">
        <v>1</v>
      </c>
      <c r="E167" s="798">
        <v>0.27</v>
      </c>
      <c r="F167" s="866">
        <v>1490000</v>
      </c>
      <c r="G167" s="662">
        <v>20</v>
      </c>
      <c r="H167" s="662">
        <f t="shared" ref="H167:H168" si="17">D167*E167*F167*G167</f>
        <v>8046000</v>
      </c>
      <c r="I167" s="794"/>
      <c r="J167" s="795"/>
      <c r="K167" s="857"/>
      <c r="L167" s="741"/>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0"/>
      <c r="AK167" s="650"/>
      <c r="AL167" s="650"/>
      <c r="AM167" s="650"/>
      <c r="AN167" s="650"/>
      <c r="AO167" s="650"/>
      <c r="AP167" s="650"/>
      <c r="AQ167" s="650"/>
      <c r="AR167" s="650"/>
      <c r="AS167" s="650"/>
      <c r="AT167" s="650"/>
      <c r="AU167" s="650"/>
      <c r="AV167" s="650"/>
      <c r="AW167" s="650"/>
      <c r="AX167" s="650"/>
      <c r="AY167" s="650"/>
      <c r="AZ167" s="650"/>
      <c r="BA167" s="650"/>
      <c r="BB167" s="650"/>
      <c r="BC167" s="650"/>
      <c r="BD167" s="650"/>
      <c r="BE167" s="650"/>
      <c r="BF167" s="650"/>
      <c r="BG167" s="650"/>
      <c r="BH167" s="650"/>
      <c r="BI167" s="650"/>
      <c r="BJ167" s="650"/>
      <c r="BK167" s="650"/>
      <c r="BL167" s="650"/>
      <c r="BM167" s="650"/>
      <c r="BN167" s="650"/>
      <c r="BO167" s="650"/>
      <c r="BP167" s="650"/>
      <c r="BQ167" s="650"/>
      <c r="BR167" s="650"/>
      <c r="BS167" s="650"/>
      <c r="BT167" s="650"/>
      <c r="BU167" s="650"/>
      <c r="BV167" s="650"/>
      <c r="BW167" s="650"/>
      <c r="BX167" s="650"/>
      <c r="BY167" s="650"/>
      <c r="BZ167" s="650"/>
      <c r="CA167" s="650"/>
      <c r="CB167" s="650"/>
      <c r="CC167" s="650"/>
      <c r="CD167" s="650"/>
      <c r="CE167" s="650"/>
      <c r="CF167" s="650"/>
      <c r="CG167" s="650"/>
      <c r="CH167" s="650"/>
      <c r="CI167" s="650"/>
      <c r="CJ167" s="650"/>
      <c r="CK167" s="650"/>
      <c r="CL167" s="650"/>
      <c r="CM167" s="650"/>
      <c r="CN167" s="650"/>
    </row>
    <row r="168" spans="1:92" s="649" customFormat="1" ht="36.75" customHeight="1" x14ac:dyDescent="0.25">
      <c r="A168" s="1065"/>
      <c r="B168" s="1061"/>
      <c r="C168" s="853" t="s">
        <v>494</v>
      </c>
      <c r="D168" s="864">
        <v>1</v>
      </c>
      <c r="E168" s="798">
        <v>0.2</v>
      </c>
      <c r="F168" s="866">
        <v>1490000</v>
      </c>
      <c r="G168" s="662">
        <v>15</v>
      </c>
      <c r="H168" s="662">
        <f t="shared" si="17"/>
        <v>4470000</v>
      </c>
      <c r="I168" s="794"/>
      <c r="J168" s="795"/>
      <c r="K168" s="857"/>
      <c r="L168" s="741"/>
      <c r="M168" s="650"/>
      <c r="N168" s="650"/>
      <c r="O168" s="650"/>
      <c r="P168" s="650"/>
      <c r="Q168" s="650"/>
      <c r="R168" s="650"/>
      <c r="S168" s="650"/>
      <c r="T168" s="650"/>
      <c r="U168" s="650"/>
      <c r="V168" s="650"/>
      <c r="W168" s="650"/>
      <c r="X168" s="650"/>
      <c r="Y168" s="650"/>
      <c r="Z168" s="650"/>
      <c r="AA168" s="650"/>
      <c r="AB168" s="650"/>
      <c r="AC168" s="650"/>
      <c r="AD168" s="650"/>
      <c r="AE168" s="650"/>
      <c r="AF168" s="650"/>
      <c r="AG168" s="650"/>
      <c r="AH168" s="650"/>
      <c r="AI168" s="650"/>
      <c r="AJ168" s="650"/>
      <c r="AK168" s="650"/>
      <c r="AL168" s="650"/>
      <c r="AM168" s="650"/>
      <c r="AN168" s="650"/>
      <c r="AO168" s="650"/>
      <c r="AP168" s="650"/>
      <c r="AQ168" s="650"/>
      <c r="AR168" s="650"/>
      <c r="AS168" s="650"/>
      <c r="AT168" s="650"/>
      <c r="AU168" s="650"/>
      <c r="AV168" s="650"/>
      <c r="AW168" s="650"/>
      <c r="AX168" s="650"/>
      <c r="AY168" s="650"/>
      <c r="AZ168" s="650"/>
      <c r="BA168" s="650"/>
      <c r="BB168" s="650"/>
      <c r="BC168" s="650"/>
      <c r="BD168" s="650"/>
      <c r="BE168" s="650"/>
      <c r="BF168" s="650"/>
      <c r="BG168" s="650"/>
      <c r="BH168" s="650"/>
      <c r="BI168" s="650"/>
      <c r="BJ168" s="650"/>
      <c r="BK168" s="650"/>
      <c r="BL168" s="650"/>
      <c r="BM168" s="650"/>
      <c r="BN168" s="650"/>
      <c r="BO168" s="650"/>
      <c r="BP168" s="650"/>
      <c r="BQ168" s="650"/>
      <c r="BR168" s="650"/>
      <c r="BS168" s="650"/>
      <c r="BT168" s="650"/>
      <c r="BU168" s="650"/>
      <c r="BV168" s="650"/>
      <c r="BW168" s="650"/>
      <c r="BX168" s="650"/>
      <c r="BY168" s="650"/>
      <c r="BZ168" s="650"/>
      <c r="CA168" s="650"/>
      <c r="CB168" s="650"/>
      <c r="CC168" s="650"/>
      <c r="CD168" s="650"/>
      <c r="CE168" s="650"/>
      <c r="CF168" s="650"/>
      <c r="CG168" s="650"/>
      <c r="CH168" s="650"/>
      <c r="CI168" s="650"/>
      <c r="CJ168" s="650"/>
      <c r="CK168" s="650"/>
      <c r="CL168" s="650"/>
      <c r="CM168" s="650"/>
      <c r="CN168" s="650"/>
    </row>
    <row r="169" spans="1:92" s="649" customFormat="1" ht="36" customHeight="1" x14ac:dyDescent="0.25">
      <c r="A169" s="1066"/>
      <c r="B169" s="1062"/>
      <c r="C169" s="648" t="s">
        <v>449</v>
      </c>
      <c r="D169" s="719"/>
      <c r="E169" s="666"/>
      <c r="F169" s="739"/>
      <c r="G169" s="667">
        <f>(D167*G167)+(D168*G168)</f>
        <v>35</v>
      </c>
      <c r="H169" s="667">
        <f>SUM(H167:H168)</f>
        <v>12516000</v>
      </c>
      <c r="I169" s="794"/>
      <c r="J169" s="795">
        <f>H169</f>
        <v>12516000</v>
      </c>
      <c r="K169" s="857"/>
      <c r="L169" s="741"/>
      <c r="M169" s="650"/>
      <c r="N169" s="650"/>
      <c r="O169" s="650"/>
      <c r="P169" s="650"/>
      <c r="Q169" s="650"/>
      <c r="R169" s="650"/>
      <c r="S169" s="650"/>
      <c r="T169" s="650"/>
      <c r="U169" s="650"/>
      <c r="V169" s="650"/>
      <c r="W169" s="650"/>
      <c r="X169" s="650"/>
      <c r="Y169" s="650"/>
      <c r="Z169" s="650"/>
      <c r="AA169" s="650"/>
      <c r="AB169" s="650"/>
      <c r="AC169" s="650"/>
      <c r="AD169" s="650"/>
      <c r="AE169" s="650"/>
      <c r="AF169" s="650"/>
      <c r="AG169" s="650"/>
      <c r="AH169" s="650"/>
      <c r="AI169" s="650"/>
      <c r="AJ169" s="650"/>
      <c r="AK169" s="650"/>
      <c r="AL169" s="650"/>
      <c r="AM169" s="650"/>
      <c r="AN169" s="650"/>
      <c r="AO169" s="650"/>
      <c r="AP169" s="650"/>
      <c r="AQ169" s="650"/>
      <c r="AR169" s="650"/>
      <c r="AS169" s="650"/>
      <c r="AT169" s="650"/>
      <c r="AU169" s="650"/>
      <c r="AV169" s="650"/>
      <c r="AW169" s="650"/>
      <c r="AX169" s="650"/>
      <c r="AY169" s="650"/>
      <c r="AZ169" s="650"/>
      <c r="BA169" s="650"/>
      <c r="BB169" s="650"/>
      <c r="BC169" s="650"/>
      <c r="BD169" s="650"/>
      <c r="BE169" s="650"/>
      <c r="BF169" s="650"/>
      <c r="BG169" s="650"/>
      <c r="BH169" s="650"/>
      <c r="BI169" s="650"/>
      <c r="BJ169" s="650"/>
      <c r="BK169" s="650"/>
      <c r="BL169" s="650"/>
      <c r="BM169" s="650"/>
      <c r="BN169" s="650"/>
      <c r="BO169" s="650"/>
      <c r="BP169" s="650"/>
      <c r="BQ169" s="650"/>
      <c r="BR169" s="650"/>
      <c r="BS169" s="650"/>
      <c r="BT169" s="650"/>
      <c r="BU169" s="650"/>
      <c r="BV169" s="650"/>
      <c r="BW169" s="650"/>
      <c r="BX169" s="650"/>
      <c r="BY169" s="650"/>
      <c r="BZ169" s="650"/>
      <c r="CA169" s="650"/>
      <c r="CB169" s="650"/>
      <c r="CC169" s="650"/>
      <c r="CD169" s="650"/>
      <c r="CE169" s="650"/>
      <c r="CF169" s="650"/>
      <c r="CG169" s="650"/>
      <c r="CH169" s="650"/>
      <c r="CI169" s="650"/>
      <c r="CJ169" s="650"/>
      <c r="CK169" s="650"/>
      <c r="CL169" s="650"/>
      <c r="CM169" s="650"/>
      <c r="CN169" s="650"/>
    </row>
    <row r="170" spans="1:92" s="649" customFormat="1" ht="44.25" customHeight="1" x14ac:dyDescent="0.25">
      <c r="A170" s="1064" t="s">
        <v>604</v>
      </c>
      <c r="B170" s="1116" t="s">
        <v>687</v>
      </c>
      <c r="C170" s="853" t="s">
        <v>492</v>
      </c>
      <c r="D170" s="864">
        <v>1</v>
      </c>
      <c r="E170" s="798">
        <v>0.49</v>
      </c>
      <c r="F170" s="866">
        <v>1490000</v>
      </c>
      <c r="G170" s="662">
        <v>20</v>
      </c>
      <c r="H170" s="662">
        <f t="shared" ref="H170:H171" si="18">D170*E170*F170*G170</f>
        <v>14602000</v>
      </c>
      <c r="I170" s="794"/>
      <c r="J170" s="795"/>
      <c r="K170" s="857"/>
      <c r="L170" s="741"/>
      <c r="M170" s="650"/>
      <c r="N170" s="650"/>
      <c r="O170" s="650"/>
      <c r="P170" s="650"/>
      <c r="Q170" s="650"/>
      <c r="R170" s="650"/>
      <c r="S170" s="650"/>
      <c r="T170" s="650"/>
      <c r="U170" s="650"/>
      <c r="V170" s="650"/>
      <c r="W170" s="650"/>
      <c r="X170" s="650"/>
      <c r="Y170" s="650"/>
      <c r="Z170" s="650"/>
      <c r="AA170" s="650"/>
      <c r="AB170" s="650"/>
      <c r="AC170" s="650"/>
      <c r="AD170" s="650"/>
      <c r="AE170" s="650"/>
      <c r="AF170" s="650"/>
      <c r="AG170" s="650"/>
      <c r="AH170" s="650"/>
      <c r="AI170" s="650"/>
      <c r="AJ170" s="650"/>
      <c r="AK170" s="650"/>
      <c r="AL170" s="650"/>
      <c r="AM170" s="650"/>
      <c r="AN170" s="650"/>
      <c r="AO170" s="650"/>
      <c r="AP170" s="650"/>
      <c r="AQ170" s="650"/>
      <c r="AR170" s="650"/>
      <c r="AS170" s="650"/>
      <c r="AT170" s="650"/>
      <c r="AU170" s="650"/>
      <c r="AV170" s="650"/>
      <c r="AW170" s="650"/>
      <c r="AX170" s="650"/>
      <c r="AY170" s="650"/>
      <c r="AZ170" s="650"/>
      <c r="BA170" s="650"/>
      <c r="BB170" s="650"/>
      <c r="BC170" s="650"/>
      <c r="BD170" s="650"/>
      <c r="BE170" s="650"/>
      <c r="BF170" s="650"/>
      <c r="BG170" s="650"/>
      <c r="BH170" s="650"/>
      <c r="BI170" s="650"/>
      <c r="BJ170" s="650"/>
      <c r="BK170" s="650"/>
      <c r="BL170" s="650"/>
      <c r="BM170" s="650"/>
      <c r="BN170" s="650"/>
      <c r="BO170" s="650"/>
      <c r="BP170" s="650"/>
      <c r="BQ170" s="650"/>
      <c r="BR170" s="650"/>
      <c r="BS170" s="650"/>
      <c r="BT170" s="650"/>
      <c r="BU170" s="650"/>
      <c r="BV170" s="650"/>
      <c r="BW170" s="650"/>
      <c r="BX170" s="650"/>
      <c r="BY170" s="650"/>
      <c r="BZ170" s="650"/>
      <c r="CA170" s="650"/>
      <c r="CB170" s="650"/>
      <c r="CC170" s="650"/>
      <c r="CD170" s="650"/>
      <c r="CE170" s="650"/>
      <c r="CF170" s="650"/>
      <c r="CG170" s="650"/>
      <c r="CH170" s="650"/>
      <c r="CI170" s="650"/>
      <c r="CJ170" s="650"/>
      <c r="CK170" s="650"/>
      <c r="CL170" s="650"/>
      <c r="CM170" s="650"/>
      <c r="CN170" s="650"/>
    </row>
    <row r="171" spans="1:92" s="649" customFormat="1" ht="42" customHeight="1" x14ac:dyDescent="0.25">
      <c r="A171" s="1065"/>
      <c r="B171" s="1117"/>
      <c r="C171" s="853" t="s">
        <v>494</v>
      </c>
      <c r="D171" s="864">
        <v>1</v>
      </c>
      <c r="E171" s="798">
        <v>0.2</v>
      </c>
      <c r="F171" s="866">
        <v>1490000</v>
      </c>
      <c r="G171" s="662">
        <v>15</v>
      </c>
      <c r="H171" s="662">
        <f t="shared" si="18"/>
        <v>4470000</v>
      </c>
      <c r="I171" s="794"/>
      <c r="J171" s="795"/>
      <c r="K171" s="857"/>
      <c r="L171" s="741"/>
      <c r="M171" s="650"/>
      <c r="N171" s="650"/>
      <c r="O171" s="650"/>
      <c r="P171" s="650"/>
      <c r="Q171" s="650"/>
      <c r="R171" s="650"/>
      <c r="S171" s="650"/>
      <c r="T171" s="650"/>
      <c r="U171" s="650"/>
      <c r="V171" s="650"/>
      <c r="W171" s="650"/>
      <c r="X171" s="650"/>
      <c r="Y171" s="650"/>
      <c r="Z171" s="650"/>
      <c r="AA171" s="650"/>
      <c r="AB171" s="650"/>
      <c r="AC171" s="650"/>
      <c r="AD171" s="650"/>
      <c r="AE171" s="650"/>
      <c r="AF171" s="650"/>
      <c r="AG171" s="650"/>
      <c r="AH171" s="650"/>
      <c r="AI171" s="650"/>
      <c r="AJ171" s="650"/>
      <c r="AK171" s="650"/>
      <c r="AL171" s="650"/>
      <c r="AM171" s="650"/>
      <c r="AN171" s="650"/>
      <c r="AO171" s="650"/>
      <c r="AP171" s="650"/>
      <c r="AQ171" s="650"/>
      <c r="AR171" s="650"/>
      <c r="AS171" s="650"/>
      <c r="AT171" s="650"/>
      <c r="AU171" s="650"/>
      <c r="AV171" s="650"/>
      <c r="AW171" s="650"/>
      <c r="AX171" s="650"/>
      <c r="AY171" s="650"/>
      <c r="AZ171" s="650"/>
      <c r="BA171" s="650"/>
      <c r="BB171" s="650"/>
      <c r="BC171" s="650"/>
      <c r="BD171" s="650"/>
      <c r="BE171" s="650"/>
      <c r="BF171" s="650"/>
      <c r="BG171" s="650"/>
      <c r="BH171" s="650"/>
      <c r="BI171" s="650"/>
      <c r="BJ171" s="650"/>
      <c r="BK171" s="650"/>
      <c r="BL171" s="650"/>
      <c r="BM171" s="650"/>
      <c r="BN171" s="650"/>
      <c r="BO171" s="650"/>
      <c r="BP171" s="650"/>
      <c r="BQ171" s="650"/>
      <c r="BR171" s="650"/>
      <c r="BS171" s="650"/>
      <c r="BT171" s="650"/>
      <c r="BU171" s="650"/>
      <c r="BV171" s="650"/>
      <c r="BW171" s="650"/>
      <c r="BX171" s="650"/>
      <c r="BY171" s="650"/>
      <c r="BZ171" s="650"/>
      <c r="CA171" s="650"/>
      <c r="CB171" s="650"/>
      <c r="CC171" s="650"/>
      <c r="CD171" s="650"/>
      <c r="CE171" s="650"/>
      <c r="CF171" s="650"/>
      <c r="CG171" s="650"/>
      <c r="CH171" s="650"/>
      <c r="CI171" s="650"/>
      <c r="CJ171" s="650"/>
      <c r="CK171" s="650"/>
      <c r="CL171" s="650"/>
      <c r="CM171" s="650"/>
      <c r="CN171" s="650"/>
    </row>
    <row r="172" spans="1:92" s="649" customFormat="1" ht="39.75" customHeight="1" x14ac:dyDescent="0.25">
      <c r="A172" s="1066"/>
      <c r="B172" s="1118"/>
      <c r="C172" s="648" t="s">
        <v>449</v>
      </c>
      <c r="D172" s="719"/>
      <c r="E172" s="666"/>
      <c r="F172" s="739"/>
      <c r="G172" s="667">
        <f>(D170*G170)+(D171*G171)</f>
        <v>35</v>
      </c>
      <c r="H172" s="667">
        <f>SUM(H170:H171)</f>
        <v>19072000</v>
      </c>
      <c r="I172" s="794"/>
      <c r="J172" s="795">
        <f>H172</f>
        <v>19072000</v>
      </c>
      <c r="K172" s="857"/>
      <c r="L172" s="741"/>
      <c r="M172" s="650"/>
      <c r="N172" s="650"/>
      <c r="O172" s="650"/>
      <c r="P172" s="650"/>
      <c r="Q172" s="650"/>
      <c r="R172" s="650"/>
      <c r="S172" s="650"/>
      <c r="T172" s="650"/>
      <c r="U172" s="650"/>
      <c r="V172" s="650"/>
      <c r="W172" s="650"/>
      <c r="X172" s="650"/>
      <c r="Y172" s="650"/>
      <c r="Z172" s="650"/>
      <c r="AA172" s="650"/>
      <c r="AB172" s="650"/>
      <c r="AC172" s="650"/>
      <c r="AD172" s="650"/>
      <c r="AE172" s="650"/>
      <c r="AF172" s="650"/>
      <c r="AG172" s="650"/>
      <c r="AH172" s="650"/>
      <c r="AI172" s="650"/>
      <c r="AJ172" s="650"/>
      <c r="AK172" s="650"/>
      <c r="AL172" s="650"/>
      <c r="AM172" s="650"/>
      <c r="AN172" s="650"/>
      <c r="AO172" s="650"/>
      <c r="AP172" s="650"/>
      <c r="AQ172" s="650"/>
      <c r="AR172" s="650"/>
      <c r="AS172" s="650"/>
      <c r="AT172" s="650"/>
      <c r="AU172" s="650"/>
      <c r="AV172" s="650"/>
      <c r="AW172" s="650"/>
      <c r="AX172" s="650"/>
      <c r="AY172" s="650"/>
      <c r="AZ172" s="650"/>
      <c r="BA172" s="650"/>
      <c r="BB172" s="650"/>
      <c r="BC172" s="650"/>
      <c r="BD172" s="650"/>
      <c r="BE172" s="650"/>
      <c r="BF172" s="650"/>
      <c r="BG172" s="650"/>
      <c r="BH172" s="650"/>
      <c r="BI172" s="650"/>
      <c r="BJ172" s="650"/>
      <c r="BK172" s="650"/>
      <c r="BL172" s="650"/>
      <c r="BM172" s="650"/>
      <c r="BN172" s="650"/>
      <c r="BO172" s="650"/>
      <c r="BP172" s="650"/>
      <c r="BQ172" s="650"/>
      <c r="BR172" s="650"/>
      <c r="BS172" s="650"/>
      <c r="BT172" s="650"/>
      <c r="BU172" s="650"/>
      <c r="BV172" s="650"/>
      <c r="BW172" s="650"/>
      <c r="BX172" s="650"/>
      <c r="BY172" s="650"/>
      <c r="BZ172" s="650"/>
      <c r="CA172" s="650"/>
      <c r="CB172" s="650"/>
      <c r="CC172" s="650"/>
      <c r="CD172" s="650"/>
      <c r="CE172" s="650"/>
      <c r="CF172" s="650"/>
      <c r="CG172" s="650"/>
      <c r="CH172" s="650"/>
      <c r="CI172" s="650"/>
      <c r="CJ172" s="650"/>
      <c r="CK172" s="650"/>
      <c r="CL172" s="650"/>
      <c r="CM172" s="650"/>
      <c r="CN172" s="650"/>
    </row>
    <row r="173" spans="1:92" s="649" customFormat="1" ht="49.5" customHeight="1" x14ac:dyDescent="0.25">
      <c r="A173" s="1064" t="s">
        <v>604</v>
      </c>
      <c r="B173" s="1115" t="s">
        <v>688</v>
      </c>
      <c r="C173" s="853" t="s">
        <v>493</v>
      </c>
      <c r="D173" s="864">
        <v>1</v>
      </c>
      <c r="E173" s="798">
        <v>0.27</v>
      </c>
      <c r="F173" s="866">
        <v>1490000</v>
      </c>
      <c r="G173" s="662">
        <v>20</v>
      </c>
      <c r="H173" s="662">
        <f t="shared" ref="H173:H174" si="19">D173*E173*F173*G173</f>
        <v>8046000</v>
      </c>
      <c r="I173" s="794"/>
      <c r="J173" s="795"/>
      <c r="K173" s="857"/>
      <c r="L173" s="741"/>
      <c r="M173" s="650"/>
      <c r="N173" s="650"/>
      <c r="O173" s="650"/>
      <c r="P173" s="650"/>
      <c r="Q173" s="650"/>
      <c r="R173" s="650"/>
      <c r="S173" s="650"/>
      <c r="T173" s="650"/>
      <c r="U173" s="650"/>
      <c r="V173" s="650"/>
      <c r="W173" s="650"/>
      <c r="X173" s="650"/>
      <c r="Y173" s="650"/>
      <c r="Z173" s="650"/>
      <c r="AA173" s="650"/>
      <c r="AB173" s="650"/>
      <c r="AC173" s="650"/>
      <c r="AD173" s="650"/>
      <c r="AE173" s="650"/>
      <c r="AF173" s="650"/>
      <c r="AG173" s="650"/>
      <c r="AH173" s="650"/>
      <c r="AI173" s="650"/>
      <c r="AJ173" s="650"/>
      <c r="AK173" s="650"/>
      <c r="AL173" s="650"/>
      <c r="AM173" s="650"/>
      <c r="AN173" s="650"/>
      <c r="AO173" s="650"/>
      <c r="AP173" s="650"/>
      <c r="AQ173" s="650"/>
      <c r="AR173" s="650"/>
      <c r="AS173" s="650"/>
      <c r="AT173" s="650"/>
      <c r="AU173" s="650"/>
      <c r="AV173" s="650"/>
      <c r="AW173" s="650"/>
      <c r="AX173" s="650"/>
      <c r="AY173" s="650"/>
      <c r="AZ173" s="650"/>
      <c r="BA173" s="650"/>
      <c r="BB173" s="650"/>
      <c r="BC173" s="650"/>
      <c r="BD173" s="650"/>
      <c r="BE173" s="650"/>
      <c r="BF173" s="650"/>
      <c r="BG173" s="650"/>
      <c r="BH173" s="650"/>
      <c r="BI173" s="650"/>
      <c r="BJ173" s="650"/>
      <c r="BK173" s="650"/>
      <c r="BL173" s="650"/>
      <c r="BM173" s="650"/>
      <c r="BN173" s="650"/>
      <c r="BO173" s="650"/>
      <c r="BP173" s="650"/>
      <c r="BQ173" s="650"/>
      <c r="BR173" s="650"/>
      <c r="BS173" s="650"/>
      <c r="BT173" s="650"/>
      <c r="BU173" s="650"/>
      <c r="BV173" s="650"/>
      <c r="BW173" s="650"/>
      <c r="BX173" s="650"/>
      <c r="BY173" s="650"/>
      <c r="BZ173" s="650"/>
      <c r="CA173" s="650"/>
      <c r="CB173" s="650"/>
      <c r="CC173" s="650"/>
      <c r="CD173" s="650"/>
      <c r="CE173" s="650"/>
      <c r="CF173" s="650"/>
      <c r="CG173" s="650"/>
      <c r="CH173" s="650"/>
      <c r="CI173" s="650"/>
      <c r="CJ173" s="650"/>
      <c r="CK173" s="650"/>
      <c r="CL173" s="650"/>
      <c r="CM173" s="650"/>
      <c r="CN173" s="650"/>
    </row>
    <row r="174" spans="1:92" s="649" customFormat="1" ht="41.25" customHeight="1" x14ac:dyDescent="0.25">
      <c r="A174" s="1065"/>
      <c r="B174" s="1115"/>
      <c r="C174" s="853" t="s">
        <v>494</v>
      </c>
      <c r="D174" s="864">
        <v>1</v>
      </c>
      <c r="E174" s="798">
        <v>0.2</v>
      </c>
      <c r="F174" s="866">
        <v>1490000</v>
      </c>
      <c r="G174" s="662">
        <v>15</v>
      </c>
      <c r="H174" s="662">
        <f t="shared" si="19"/>
        <v>4470000</v>
      </c>
      <c r="I174" s="794"/>
      <c r="J174" s="795"/>
      <c r="K174" s="857"/>
      <c r="L174" s="741"/>
      <c r="M174" s="650"/>
      <c r="N174" s="650"/>
      <c r="O174" s="650"/>
      <c r="P174" s="650"/>
      <c r="Q174" s="650"/>
      <c r="R174" s="650"/>
      <c r="S174" s="650"/>
      <c r="T174" s="650"/>
      <c r="U174" s="650"/>
      <c r="V174" s="650"/>
      <c r="W174" s="650"/>
      <c r="X174" s="650"/>
      <c r="Y174" s="650"/>
      <c r="Z174" s="650"/>
      <c r="AA174" s="650"/>
      <c r="AB174" s="650"/>
      <c r="AC174" s="650"/>
      <c r="AD174" s="650"/>
      <c r="AE174" s="650"/>
      <c r="AF174" s="650"/>
      <c r="AG174" s="650"/>
      <c r="AH174" s="650"/>
      <c r="AI174" s="650"/>
      <c r="AJ174" s="650"/>
      <c r="AK174" s="650"/>
      <c r="AL174" s="650"/>
      <c r="AM174" s="650"/>
      <c r="AN174" s="650"/>
      <c r="AO174" s="650"/>
      <c r="AP174" s="650"/>
      <c r="AQ174" s="650"/>
      <c r="AR174" s="650"/>
      <c r="AS174" s="650"/>
      <c r="AT174" s="650"/>
      <c r="AU174" s="650"/>
      <c r="AV174" s="650"/>
      <c r="AW174" s="650"/>
      <c r="AX174" s="650"/>
      <c r="AY174" s="650"/>
      <c r="AZ174" s="650"/>
      <c r="BA174" s="650"/>
      <c r="BB174" s="650"/>
      <c r="BC174" s="650"/>
      <c r="BD174" s="650"/>
      <c r="BE174" s="650"/>
      <c r="BF174" s="650"/>
      <c r="BG174" s="650"/>
      <c r="BH174" s="650"/>
      <c r="BI174" s="650"/>
      <c r="BJ174" s="650"/>
      <c r="BK174" s="650"/>
      <c r="BL174" s="650"/>
      <c r="BM174" s="650"/>
      <c r="BN174" s="650"/>
      <c r="BO174" s="650"/>
      <c r="BP174" s="650"/>
      <c r="BQ174" s="650"/>
      <c r="BR174" s="650"/>
      <c r="BS174" s="650"/>
      <c r="BT174" s="650"/>
      <c r="BU174" s="650"/>
      <c r="BV174" s="650"/>
      <c r="BW174" s="650"/>
      <c r="BX174" s="650"/>
      <c r="BY174" s="650"/>
      <c r="BZ174" s="650"/>
      <c r="CA174" s="650"/>
      <c r="CB174" s="650"/>
      <c r="CC174" s="650"/>
      <c r="CD174" s="650"/>
      <c r="CE174" s="650"/>
      <c r="CF174" s="650"/>
      <c r="CG174" s="650"/>
      <c r="CH174" s="650"/>
      <c r="CI174" s="650"/>
      <c r="CJ174" s="650"/>
      <c r="CK174" s="650"/>
      <c r="CL174" s="650"/>
      <c r="CM174" s="650"/>
      <c r="CN174" s="650"/>
    </row>
    <row r="175" spans="1:92" s="649" customFormat="1" ht="39" customHeight="1" x14ac:dyDescent="0.25">
      <c r="A175" s="1066"/>
      <c r="B175" s="1115"/>
      <c r="C175" s="648" t="s">
        <v>449</v>
      </c>
      <c r="D175" s="719"/>
      <c r="E175" s="666"/>
      <c r="F175" s="739"/>
      <c r="G175" s="667">
        <f>(D173*G173)+(D174*G174)</f>
        <v>35</v>
      </c>
      <c r="H175" s="667">
        <f>SUM(H173:H174)</f>
        <v>12516000</v>
      </c>
      <c r="I175" s="794"/>
      <c r="J175" s="795">
        <f>H175</f>
        <v>12516000</v>
      </c>
      <c r="K175" s="857"/>
      <c r="L175" s="741"/>
      <c r="M175" s="650"/>
      <c r="N175" s="650"/>
      <c r="O175" s="650"/>
      <c r="P175" s="650"/>
      <c r="Q175" s="650"/>
      <c r="R175" s="650"/>
      <c r="S175" s="650"/>
      <c r="T175" s="650"/>
      <c r="U175" s="650"/>
      <c r="V175" s="650"/>
      <c r="W175" s="650"/>
      <c r="X175" s="650"/>
      <c r="Y175" s="650"/>
      <c r="Z175" s="650"/>
      <c r="AA175" s="650"/>
      <c r="AB175" s="650"/>
      <c r="AC175" s="650"/>
      <c r="AD175" s="650"/>
      <c r="AE175" s="650"/>
      <c r="AF175" s="650"/>
      <c r="AG175" s="650"/>
      <c r="AH175" s="650"/>
      <c r="AI175" s="650"/>
      <c r="AJ175" s="650"/>
      <c r="AK175" s="650"/>
      <c r="AL175" s="650"/>
      <c r="AM175" s="650"/>
      <c r="AN175" s="650"/>
      <c r="AO175" s="650"/>
      <c r="AP175" s="650"/>
      <c r="AQ175" s="650"/>
      <c r="AR175" s="650"/>
      <c r="AS175" s="650"/>
      <c r="AT175" s="650"/>
      <c r="AU175" s="650"/>
      <c r="AV175" s="650"/>
      <c r="AW175" s="650"/>
      <c r="AX175" s="650"/>
      <c r="AY175" s="650"/>
      <c r="AZ175" s="650"/>
      <c r="BA175" s="650"/>
      <c r="BB175" s="650"/>
      <c r="BC175" s="650"/>
      <c r="BD175" s="650"/>
      <c r="BE175" s="650"/>
      <c r="BF175" s="650"/>
      <c r="BG175" s="650"/>
      <c r="BH175" s="650"/>
      <c r="BI175" s="650"/>
      <c r="BJ175" s="650"/>
      <c r="BK175" s="650"/>
      <c r="BL175" s="650"/>
      <c r="BM175" s="650"/>
      <c r="BN175" s="650"/>
      <c r="BO175" s="650"/>
      <c r="BP175" s="650"/>
      <c r="BQ175" s="650"/>
      <c r="BR175" s="650"/>
      <c r="BS175" s="650"/>
      <c r="BT175" s="650"/>
      <c r="BU175" s="650"/>
      <c r="BV175" s="650"/>
      <c r="BW175" s="650"/>
      <c r="BX175" s="650"/>
      <c r="BY175" s="650"/>
      <c r="BZ175" s="650"/>
      <c r="CA175" s="650"/>
      <c r="CB175" s="650"/>
      <c r="CC175" s="650"/>
      <c r="CD175" s="650"/>
      <c r="CE175" s="650"/>
      <c r="CF175" s="650"/>
      <c r="CG175" s="650"/>
      <c r="CH175" s="650"/>
      <c r="CI175" s="650"/>
      <c r="CJ175" s="650"/>
      <c r="CK175" s="650"/>
      <c r="CL175" s="650"/>
      <c r="CM175" s="650"/>
      <c r="CN175" s="650"/>
    </row>
    <row r="176" spans="1:92" s="649" customFormat="1" ht="49.5" customHeight="1" x14ac:dyDescent="0.25">
      <c r="A176" s="1064" t="s">
        <v>604</v>
      </c>
      <c r="B176" s="1116" t="s">
        <v>689</v>
      </c>
      <c r="C176" s="853" t="s">
        <v>493</v>
      </c>
      <c r="D176" s="864">
        <v>1</v>
      </c>
      <c r="E176" s="798">
        <v>0.27</v>
      </c>
      <c r="F176" s="866">
        <v>1490000</v>
      </c>
      <c r="G176" s="662">
        <v>20</v>
      </c>
      <c r="H176" s="662">
        <f t="shared" ref="H176:H177" si="20">D176*E176*F176*G176</f>
        <v>8046000</v>
      </c>
      <c r="I176" s="794"/>
      <c r="J176" s="795"/>
      <c r="K176" s="857"/>
      <c r="L176" s="741"/>
      <c r="M176" s="650"/>
      <c r="N176" s="650"/>
      <c r="O176" s="650"/>
      <c r="P176" s="650"/>
      <c r="Q176" s="650"/>
      <c r="R176" s="650"/>
      <c r="S176" s="650"/>
      <c r="T176" s="650"/>
      <c r="U176" s="650"/>
      <c r="V176" s="650"/>
      <c r="W176" s="650"/>
      <c r="X176" s="650"/>
      <c r="Y176" s="650"/>
      <c r="Z176" s="650"/>
      <c r="AA176" s="650"/>
      <c r="AB176" s="650"/>
      <c r="AC176" s="650"/>
      <c r="AD176" s="650"/>
      <c r="AE176" s="650"/>
      <c r="AF176" s="650"/>
      <c r="AG176" s="650"/>
      <c r="AH176" s="650"/>
      <c r="AI176" s="650"/>
      <c r="AJ176" s="650"/>
      <c r="AK176" s="650"/>
      <c r="AL176" s="650"/>
      <c r="AM176" s="650"/>
      <c r="AN176" s="650"/>
      <c r="AO176" s="650"/>
      <c r="AP176" s="650"/>
      <c r="AQ176" s="650"/>
      <c r="AR176" s="650"/>
      <c r="AS176" s="650"/>
      <c r="AT176" s="650"/>
      <c r="AU176" s="650"/>
      <c r="AV176" s="650"/>
      <c r="AW176" s="650"/>
      <c r="AX176" s="650"/>
      <c r="AY176" s="650"/>
      <c r="AZ176" s="650"/>
      <c r="BA176" s="650"/>
      <c r="BB176" s="650"/>
      <c r="BC176" s="650"/>
      <c r="BD176" s="650"/>
      <c r="BE176" s="650"/>
      <c r="BF176" s="650"/>
      <c r="BG176" s="650"/>
      <c r="BH176" s="650"/>
      <c r="BI176" s="650"/>
      <c r="BJ176" s="650"/>
      <c r="BK176" s="650"/>
      <c r="BL176" s="650"/>
      <c r="BM176" s="650"/>
      <c r="BN176" s="650"/>
      <c r="BO176" s="650"/>
      <c r="BP176" s="650"/>
      <c r="BQ176" s="650"/>
      <c r="BR176" s="650"/>
      <c r="BS176" s="650"/>
      <c r="BT176" s="650"/>
      <c r="BU176" s="650"/>
      <c r="BV176" s="650"/>
      <c r="BW176" s="650"/>
      <c r="BX176" s="650"/>
      <c r="BY176" s="650"/>
      <c r="BZ176" s="650"/>
      <c r="CA176" s="650"/>
      <c r="CB176" s="650"/>
      <c r="CC176" s="650"/>
      <c r="CD176" s="650"/>
      <c r="CE176" s="650"/>
      <c r="CF176" s="650"/>
      <c r="CG176" s="650"/>
      <c r="CH176" s="650"/>
      <c r="CI176" s="650"/>
      <c r="CJ176" s="650"/>
      <c r="CK176" s="650"/>
      <c r="CL176" s="650"/>
      <c r="CM176" s="650"/>
      <c r="CN176" s="650"/>
    </row>
    <row r="177" spans="1:92" s="649" customFormat="1" ht="47.25" customHeight="1" x14ac:dyDescent="0.25">
      <c r="A177" s="1065"/>
      <c r="B177" s="1117"/>
      <c r="C177" s="853" t="s">
        <v>494</v>
      </c>
      <c r="D177" s="864">
        <v>1</v>
      </c>
      <c r="E177" s="798">
        <v>0.2</v>
      </c>
      <c r="F177" s="866">
        <v>1490000</v>
      </c>
      <c r="G177" s="662">
        <v>15</v>
      </c>
      <c r="H177" s="662">
        <f t="shared" si="20"/>
        <v>4470000</v>
      </c>
      <c r="I177" s="794"/>
      <c r="J177" s="795"/>
      <c r="K177" s="857"/>
      <c r="L177" s="741"/>
      <c r="M177" s="650"/>
      <c r="N177" s="650"/>
      <c r="O177" s="650"/>
      <c r="P177" s="650"/>
      <c r="Q177" s="650"/>
      <c r="R177" s="650"/>
      <c r="S177" s="650"/>
      <c r="T177" s="650"/>
      <c r="U177" s="650"/>
      <c r="V177" s="650"/>
      <c r="W177" s="650"/>
      <c r="X177" s="650"/>
      <c r="Y177" s="650"/>
      <c r="Z177" s="650"/>
      <c r="AA177" s="650"/>
      <c r="AB177" s="650"/>
      <c r="AC177" s="650"/>
      <c r="AD177" s="650"/>
      <c r="AE177" s="650"/>
      <c r="AF177" s="650"/>
      <c r="AG177" s="650"/>
      <c r="AH177" s="650"/>
      <c r="AI177" s="650"/>
      <c r="AJ177" s="650"/>
      <c r="AK177" s="650"/>
      <c r="AL177" s="650"/>
      <c r="AM177" s="650"/>
      <c r="AN177" s="650"/>
      <c r="AO177" s="650"/>
      <c r="AP177" s="650"/>
      <c r="AQ177" s="650"/>
      <c r="AR177" s="650"/>
      <c r="AS177" s="650"/>
      <c r="AT177" s="650"/>
      <c r="AU177" s="650"/>
      <c r="AV177" s="650"/>
      <c r="AW177" s="650"/>
      <c r="AX177" s="650"/>
      <c r="AY177" s="650"/>
      <c r="AZ177" s="650"/>
      <c r="BA177" s="650"/>
      <c r="BB177" s="650"/>
      <c r="BC177" s="650"/>
      <c r="BD177" s="650"/>
      <c r="BE177" s="650"/>
      <c r="BF177" s="650"/>
      <c r="BG177" s="650"/>
      <c r="BH177" s="650"/>
      <c r="BI177" s="650"/>
      <c r="BJ177" s="650"/>
      <c r="BK177" s="650"/>
      <c r="BL177" s="650"/>
      <c r="BM177" s="650"/>
      <c r="BN177" s="650"/>
      <c r="BO177" s="650"/>
      <c r="BP177" s="650"/>
      <c r="BQ177" s="650"/>
      <c r="BR177" s="650"/>
      <c r="BS177" s="650"/>
      <c r="BT177" s="650"/>
      <c r="BU177" s="650"/>
      <c r="BV177" s="650"/>
      <c r="BW177" s="650"/>
      <c r="BX177" s="650"/>
      <c r="BY177" s="650"/>
      <c r="BZ177" s="650"/>
      <c r="CA177" s="650"/>
      <c r="CB177" s="650"/>
      <c r="CC177" s="650"/>
      <c r="CD177" s="650"/>
      <c r="CE177" s="650"/>
      <c r="CF177" s="650"/>
      <c r="CG177" s="650"/>
      <c r="CH177" s="650"/>
      <c r="CI177" s="650"/>
      <c r="CJ177" s="650"/>
      <c r="CK177" s="650"/>
      <c r="CL177" s="650"/>
      <c r="CM177" s="650"/>
      <c r="CN177" s="650"/>
    </row>
    <row r="178" spans="1:92" s="649" customFormat="1" ht="43.5" customHeight="1" x14ac:dyDescent="0.25">
      <c r="A178" s="1066"/>
      <c r="B178" s="1118"/>
      <c r="C178" s="648" t="s">
        <v>449</v>
      </c>
      <c r="D178" s="719"/>
      <c r="E178" s="666"/>
      <c r="F178" s="739"/>
      <c r="G178" s="667">
        <f>(D176*G176)+(D177*G177)</f>
        <v>35</v>
      </c>
      <c r="H178" s="667">
        <f>SUM(H176:H177)</f>
        <v>12516000</v>
      </c>
      <c r="I178" s="794"/>
      <c r="J178" s="795">
        <f>H178</f>
        <v>12516000</v>
      </c>
      <c r="K178" s="857"/>
      <c r="L178" s="741"/>
      <c r="M178" s="650"/>
      <c r="N178" s="650"/>
      <c r="O178" s="650"/>
      <c r="P178" s="650"/>
      <c r="Q178" s="650"/>
      <c r="R178" s="650"/>
      <c r="S178" s="650"/>
      <c r="T178" s="650"/>
      <c r="U178" s="650"/>
      <c r="V178" s="650"/>
      <c r="W178" s="650"/>
      <c r="X178" s="650"/>
      <c r="Y178" s="650"/>
      <c r="Z178" s="650"/>
      <c r="AA178" s="650"/>
      <c r="AB178" s="650"/>
      <c r="AC178" s="650"/>
      <c r="AD178" s="650"/>
      <c r="AE178" s="650"/>
      <c r="AF178" s="650"/>
      <c r="AG178" s="650"/>
      <c r="AH178" s="650"/>
      <c r="AI178" s="650"/>
      <c r="AJ178" s="650"/>
      <c r="AK178" s="650"/>
      <c r="AL178" s="650"/>
      <c r="AM178" s="650"/>
      <c r="AN178" s="650"/>
      <c r="AO178" s="650"/>
      <c r="AP178" s="650"/>
      <c r="AQ178" s="650"/>
      <c r="AR178" s="650"/>
      <c r="AS178" s="650"/>
      <c r="AT178" s="650"/>
      <c r="AU178" s="650"/>
      <c r="AV178" s="650"/>
      <c r="AW178" s="650"/>
      <c r="AX178" s="650"/>
      <c r="AY178" s="650"/>
      <c r="AZ178" s="650"/>
      <c r="BA178" s="650"/>
      <c r="BB178" s="650"/>
      <c r="BC178" s="650"/>
      <c r="BD178" s="650"/>
      <c r="BE178" s="650"/>
      <c r="BF178" s="650"/>
      <c r="BG178" s="650"/>
      <c r="BH178" s="650"/>
      <c r="BI178" s="650"/>
      <c r="BJ178" s="650"/>
      <c r="BK178" s="650"/>
      <c r="BL178" s="650"/>
      <c r="BM178" s="650"/>
      <c r="BN178" s="650"/>
      <c r="BO178" s="650"/>
      <c r="BP178" s="650"/>
      <c r="BQ178" s="650"/>
      <c r="BR178" s="650"/>
      <c r="BS178" s="650"/>
      <c r="BT178" s="650"/>
      <c r="BU178" s="650"/>
      <c r="BV178" s="650"/>
      <c r="BW178" s="650"/>
      <c r="BX178" s="650"/>
      <c r="BY178" s="650"/>
      <c r="BZ178" s="650"/>
      <c r="CA178" s="650"/>
      <c r="CB178" s="650"/>
      <c r="CC178" s="650"/>
      <c r="CD178" s="650"/>
      <c r="CE178" s="650"/>
      <c r="CF178" s="650"/>
      <c r="CG178" s="650"/>
      <c r="CH178" s="650"/>
      <c r="CI178" s="650"/>
      <c r="CJ178" s="650"/>
      <c r="CK178" s="650"/>
      <c r="CL178" s="650"/>
      <c r="CM178" s="650"/>
      <c r="CN178" s="650"/>
    </row>
    <row r="179" spans="1:92" s="649" customFormat="1" ht="59.25" customHeight="1" x14ac:dyDescent="0.25">
      <c r="A179" s="660" t="s">
        <v>537</v>
      </c>
      <c r="B179" s="854" t="s">
        <v>642</v>
      </c>
      <c r="C179" s="774"/>
      <c r="D179" s="774"/>
      <c r="E179" s="773"/>
      <c r="F179" s="775"/>
      <c r="G179" s="785">
        <f>G182+G185+G188+G191</f>
        <v>140</v>
      </c>
      <c r="H179" s="663">
        <f>H182+H185+H188+H191</f>
        <v>50064000</v>
      </c>
      <c r="I179" s="794"/>
      <c r="J179" s="795">
        <f>H179</f>
        <v>50064000</v>
      </c>
      <c r="K179" s="773"/>
      <c r="L179" s="741"/>
      <c r="M179" s="650"/>
      <c r="N179" s="650"/>
      <c r="O179" s="650"/>
      <c r="P179" s="650"/>
      <c r="Q179" s="650"/>
      <c r="R179" s="650"/>
      <c r="S179" s="650"/>
      <c r="T179" s="650"/>
      <c r="U179" s="650"/>
      <c r="V179" s="650"/>
      <c r="W179" s="650"/>
      <c r="X179" s="650"/>
      <c r="Y179" s="650"/>
      <c r="Z179" s="650"/>
      <c r="AA179" s="650"/>
      <c r="AB179" s="650"/>
      <c r="AC179" s="650"/>
      <c r="AD179" s="650"/>
      <c r="AE179" s="650"/>
      <c r="AF179" s="650"/>
      <c r="AG179" s="650"/>
      <c r="AH179" s="650"/>
      <c r="AI179" s="650"/>
      <c r="AJ179" s="650"/>
      <c r="AK179" s="650"/>
      <c r="AL179" s="650"/>
      <c r="AM179" s="650"/>
      <c r="AN179" s="650"/>
      <c r="AO179" s="650"/>
      <c r="AP179" s="650"/>
      <c r="AQ179" s="650"/>
      <c r="AR179" s="650"/>
      <c r="AS179" s="650"/>
      <c r="AT179" s="650"/>
      <c r="AU179" s="650"/>
      <c r="AV179" s="650"/>
      <c r="AW179" s="650"/>
      <c r="AX179" s="650"/>
      <c r="AY179" s="650"/>
      <c r="AZ179" s="650"/>
      <c r="BA179" s="650"/>
      <c r="BB179" s="650"/>
      <c r="BC179" s="650"/>
      <c r="BD179" s="650"/>
      <c r="BE179" s="650"/>
      <c r="BF179" s="650"/>
      <c r="BG179" s="650"/>
      <c r="BH179" s="650"/>
      <c r="BI179" s="650"/>
      <c r="BJ179" s="650"/>
      <c r="BK179" s="650"/>
      <c r="BL179" s="650"/>
      <c r="BM179" s="650"/>
      <c r="BN179" s="650"/>
      <c r="BO179" s="650"/>
      <c r="BP179" s="650"/>
      <c r="BQ179" s="650"/>
      <c r="BR179" s="650"/>
      <c r="BS179" s="650"/>
      <c r="BT179" s="650"/>
      <c r="BU179" s="650"/>
      <c r="BV179" s="650"/>
      <c r="BW179" s="650"/>
      <c r="BX179" s="650"/>
      <c r="BY179" s="650"/>
      <c r="BZ179" s="650"/>
      <c r="CA179" s="650"/>
      <c r="CB179" s="650"/>
      <c r="CC179" s="650"/>
      <c r="CD179" s="650"/>
      <c r="CE179" s="650"/>
      <c r="CF179" s="650"/>
      <c r="CG179" s="650"/>
      <c r="CH179" s="650"/>
      <c r="CI179" s="650"/>
      <c r="CJ179" s="650"/>
      <c r="CK179" s="650"/>
      <c r="CL179" s="650"/>
      <c r="CM179" s="650"/>
      <c r="CN179" s="650"/>
    </row>
    <row r="180" spans="1:92" s="649" customFormat="1" ht="39" customHeight="1" x14ac:dyDescent="0.25">
      <c r="A180" s="1064" t="s">
        <v>604</v>
      </c>
      <c r="B180" s="1116" t="s">
        <v>690</v>
      </c>
      <c r="C180" s="853" t="s">
        <v>493</v>
      </c>
      <c r="D180" s="864">
        <v>1</v>
      </c>
      <c r="E180" s="798">
        <v>0.27</v>
      </c>
      <c r="F180" s="866">
        <v>1490000</v>
      </c>
      <c r="G180" s="662">
        <v>20</v>
      </c>
      <c r="H180" s="662">
        <f t="shared" ref="H180:H181" si="21">D180*E180*F180*G180</f>
        <v>8046000</v>
      </c>
      <c r="I180" s="794"/>
      <c r="J180" s="795"/>
      <c r="K180" s="857"/>
      <c r="L180" s="741"/>
      <c r="M180" s="650"/>
      <c r="N180" s="650"/>
      <c r="O180" s="650"/>
      <c r="P180" s="650"/>
      <c r="Q180" s="650"/>
      <c r="R180" s="650"/>
      <c r="S180" s="650"/>
      <c r="T180" s="650"/>
      <c r="U180" s="650"/>
      <c r="V180" s="650"/>
      <c r="W180" s="650"/>
      <c r="X180" s="650"/>
      <c r="Y180" s="650"/>
      <c r="Z180" s="650"/>
      <c r="AA180" s="650"/>
      <c r="AB180" s="650"/>
      <c r="AC180" s="650"/>
      <c r="AD180" s="650"/>
      <c r="AE180" s="650"/>
      <c r="AF180" s="650"/>
      <c r="AG180" s="650"/>
      <c r="AH180" s="650"/>
      <c r="AI180" s="650"/>
      <c r="AJ180" s="650"/>
      <c r="AK180" s="650"/>
      <c r="AL180" s="650"/>
      <c r="AM180" s="650"/>
      <c r="AN180" s="650"/>
      <c r="AO180" s="650"/>
      <c r="AP180" s="650"/>
      <c r="AQ180" s="650"/>
      <c r="AR180" s="650"/>
      <c r="AS180" s="650"/>
      <c r="AT180" s="650"/>
      <c r="AU180" s="650"/>
      <c r="AV180" s="650"/>
      <c r="AW180" s="650"/>
      <c r="AX180" s="650"/>
      <c r="AY180" s="650"/>
      <c r="AZ180" s="650"/>
      <c r="BA180" s="650"/>
      <c r="BB180" s="650"/>
      <c r="BC180" s="650"/>
      <c r="BD180" s="650"/>
      <c r="BE180" s="650"/>
      <c r="BF180" s="650"/>
      <c r="BG180" s="650"/>
      <c r="BH180" s="650"/>
      <c r="BI180" s="650"/>
      <c r="BJ180" s="650"/>
      <c r="BK180" s="650"/>
      <c r="BL180" s="650"/>
      <c r="BM180" s="650"/>
      <c r="BN180" s="650"/>
      <c r="BO180" s="650"/>
      <c r="BP180" s="650"/>
      <c r="BQ180" s="650"/>
      <c r="BR180" s="650"/>
      <c r="BS180" s="650"/>
      <c r="BT180" s="650"/>
      <c r="BU180" s="650"/>
      <c r="BV180" s="650"/>
      <c r="BW180" s="650"/>
      <c r="BX180" s="650"/>
      <c r="BY180" s="650"/>
      <c r="BZ180" s="650"/>
      <c r="CA180" s="650"/>
      <c r="CB180" s="650"/>
      <c r="CC180" s="650"/>
      <c r="CD180" s="650"/>
      <c r="CE180" s="650"/>
      <c r="CF180" s="650"/>
      <c r="CG180" s="650"/>
      <c r="CH180" s="650"/>
      <c r="CI180" s="650"/>
      <c r="CJ180" s="650"/>
      <c r="CK180" s="650"/>
      <c r="CL180" s="650"/>
      <c r="CM180" s="650"/>
      <c r="CN180" s="650"/>
    </row>
    <row r="181" spans="1:92" s="649" customFormat="1" ht="37.5" customHeight="1" x14ac:dyDescent="0.25">
      <c r="A181" s="1065"/>
      <c r="B181" s="1117"/>
      <c r="C181" s="853" t="s">
        <v>494</v>
      </c>
      <c r="D181" s="864">
        <v>1</v>
      </c>
      <c r="E181" s="798">
        <v>0.2</v>
      </c>
      <c r="F181" s="866">
        <v>1490000</v>
      </c>
      <c r="G181" s="662">
        <v>15</v>
      </c>
      <c r="H181" s="662">
        <f t="shared" si="21"/>
        <v>4470000</v>
      </c>
      <c r="I181" s="794"/>
      <c r="J181" s="795"/>
      <c r="K181" s="857"/>
      <c r="L181" s="741"/>
      <c r="M181" s="650"/>
      <c r="N181" s="650"/>
      <c r="O181" s="650"/>
      <c r="P181" s="650"/>
      <c r="Q181" s="650"/>
      <c r="R181" s="650"/>
      <c r="S181" s="650"/>
      <c r="T181" s="650"/>
      <c r="U181" s="650"/>
      <c r="V181" s="650"/>
      <c r="W181" s="650"/>
      <c r="X181" s="650"/>
      <c r="Y181" s="650"/>
      <c r="Z181" s="650"/>
      <c r="AA181" s="650"/>
      <c r="AB181" s="650"/>
      <c r="AC181" s="650"/>
      <c r="AD181" s="650"/>
      <c r="AE181" s="650"/>
      <c r="AF181" s="650"/>
      <c r="AG181" s="650"/>
      <c r="AH181" s="650"/>
      <c r="AI181" s="650"/>
      <c r="AJ181" s="650"/>
      <c r="AK181" s="650"/>
      <c r="AL181" s="650"/>
      <c r="AM181" s="650"/>
      <c r="AN181" s="650"/>
      <c r="AO181" s="650"/>
      <c r="AP181" s="650"/>
      <c r="AQ181" s="650"/>
      <c r="AR181" s="650"/>
      <c r="AS181" s="650"/>
      <c r="AT181" s="650"/>
      <c r="AU181" s="650"/>
      <c r="AV181" s="650"/>
      <c r="AW181" s="650"/>
      <c r="AX181" s="650"/>
      <c r="AY181" s="650"/>
      <c r="AZ181" s="650"/>
      <c r="BA181" s="650"/>
      <c r="BB181" s="650"/>
      <c r="BC181" s="650"/>
      <c r="BD181" s="650"/>
      <c r="BE181" s="650"/>
      <c r="BF181" s="650"/>
      <c r="BG181" s="650"/>
      <c r="BH181" s="650"/>
      <c r="BI181" s="650"/>
      <c r="BJ181" s="650"/>
      <c r="BK181" s="650"/>
      <c r="BL181" s="650"/>
      <c r="BM181" s="650"/>
      <c r="BN181" s="650"/>
      <c r="BO181" s="650"/>
      <c r="BP181" s="650"/>
      <c r="BQ181" s="650"/>
      <c r="BR181" s="650"/>
      <c r="BS181" s="650"/>
      <c r="BT181" s="650"/>
      <c r="BU181" s="650"/>
      <c r="BV181" s="650"/>
      <c r="BW181" s="650"/>
      <c r="BX181" s="650"/>
      <c r="BY181" s="650"/>
      <c r="BZ181" s="650"/>
      <c r="CA181" s="650"/>
      <c r="CB181" s="650"/>
      <c r="CC181" s="650"/>
      <c r="CD181" s="650"/>
      <c r="CE181" s="650"/>
      <c r="CF181" s="650"/>
      <c r="CG181" s="650"/>
      <c r="CH181" s="650"/>
      <c r="CI181" s="650"/>
      <c r="CJ181" s="650"/>
      <c r="CK181" s="650"/>
      <c r="CL181" s="650"/>
      <c r="CM181" s="650"/>
      <c r="CN181" s="650"/>
    </row>
    <row r="182" spans="1:92" s="649" customFormat="1" ht="36" customHeight="1" x14ac:dyDescent="0.25">
      <c r="A182" s="1066"/>
      <c r="B182" s="1118"/>
      <c r="C182" s="648" t="s">
        <v>449</v>
      </c>
      <c r="D182" s="719"/>
      <c r="E182" s="666"/>
      <c r="F182" s="739"/>
      <c r="G182" s="667">
        <f>(D180*G180)+(D181*G181)</f>
        <v>35</v>
      </c>
      <c r="H182" s="667">
        <f>SUM(H180:H181)</f>
        <v>12516000</v>
      </c>
      <c r="I182" s="794"/>
      <c r="J182" s="795">
        <f>H182</f>
        <v>12516000</v>
      </c>
      <c r="K182" s="857"/>
      <c r="L182" s="741"/>
      <c r="M182" s="650"/>
      <c r="N182" s="650"/>
      <c r="O182" s="650"/>
      <c r="P182" s="650"/>
      <c r="Q182" s="650"/>
      <c r="R182" s="650"/>
      <c r="S182" s="650"/>
      <c r="T182" s="650"/>
      <c r="U182" s="650"/>
      <c r="V182" s="650"/>
      <c r="W182" s="650"/>
      <c r="X182" s="650"/>
      <c r="Y182" s="650"/>
      <c r="Z182" s="650"/>
      <c r="AA182" s="650"/>
      <c r="AB182" s="650"/>
      <c r="AC182" s="650"/>
      <c r="AD182" s="650"/>
      <c r="AE182" s="650"/>
      <c r="AF182" s="650"/>
      <c r="AG182" s="650"/>
      <c r="AH182" s="650"/>
      <c r="AI182" s="650"/>
      <c r="AJ182" s="650"/>
      <c r="AK182" s="650"/>
      <c r="AL182" s="650"/>
      <c r="AM182" s="650"/>
      <c r="AN182" s="650"/>
      <c r="AO182" s="650"/>
      <c r="AP182" s="650"/>
      <c r="AQ182" s="650"/>
      <c r="AR182" s="650"/>
      <c r="AS182" s="650"/>
      <c r="AT182" s="650"/>
      <c r="AU182" s="650"/>
      <c r="AV182" s="650"/>
      <c r="AW182" s="650"/>
      <c r="AX182" s="650"/>
      <c r="AY182" s="650"/>
      <c r="AZ182" s="650"/>
      <c r="BA182" s="650"/>
      <c r="BB182" s="650"/>
      <c r="BC182" s="650"/>
      <c r="BD182" s="650"/>
      <c r="BE182" s="650"/>
      <c r="BF182" s="650"/>
      <c r="BG182" s="650"/>
      <c r="BH182" s="650"/>
      <c r="BI182" s="650"/>
      <c r="BJ182" s="650"/>
      <c r="BK182" s="650"/>
      <c r="BL182" s="650"/>
      <c r="BM182" s="650"/>
      <c r="BN182" s="650"/>
      <c r="BO182" s="650"/>
      <c r="BP182" s="650"/>
      <c r="BQ182" s="650"/>
      <c r="BR182" s="650"/>
      <c r="BS182" s="650"/>
      <c r="BT182" s="650"/>
      <c r="BU182" s="650"/>
      <c r="BV182" s="650"/>
      <c r="BW182" s="650"/>
      <c r="BX182" s="650"/>
      <c r="BY182" s="650"/>
      <c r="BZ182" s="650"/>
      <c r="CA182" s="650"/>
      <c r="CB182" s="650"/>
      <c r="CC182" s="650"/>
      <c r="CD182" s="650"/>
      <c r="CE182" s="650"/>
      <c r="CF182" s="650"/>
      <c r="CG182" s="650"/>
      <c r="CH182" s="650"/>
      <c r="CI182" s="650"/>
      <c r="CJ182" s="650"/>
      <c r="CK182" s="650"/>
      <c r="CL182" s="650"/>
      <c r="CM182" s="650"/>
      <c r="CN182" s="650"/>
    </row>
    <row r="183" spans="1:92" s="649" customFormat="1" ht="47.25" customHeight="1" x14ac:dyDescent="0.25">
      <c r="A183" s="1064" t="s">
        <v>604</v>
      </c>
      <c r="B183" s="1116" t="s">
        <v>691</v>
      </c>
      <c r="C183" s="853" t="s">
        <v>493</v>
      </c>
      <c r="D183" s="864">
        <v>1</v>
      </c>
      <c r="E183" s="798">
        <v>0.27</v>
      </c>
      <c r="F183" s="866">
        <v>1490000</v>
      </c>
      <c r="G183" s="662">
        <v>20</v>
      </c>
      <c r="H183" s="662">
        <f t="shared" ref="H183:H184" si="22">D183*E183*F183*G183</f>
        <v>8046000</v>
      </c>
      <c r="I183" s="794"/>
      <c r="J183" s="795"/>
      <c r="K183" s="857"/>
      <c r="L183" s="741"/>
      <c r="M183" s="650"/>
      <c r="N183" s="650"/>
      <c r="O183" s="650"/>
      <c r="P183" s="650"/>
      <c r="Q183" s="650"/>
      <c r="R183" s="650"/>
      <c r="S183" s="650"/>
      <c r="T183" s="650"/>
      <c r="U183" s="650"/>
      <c r="V183" s="650"/>
      <c r="W183" s="650"/>
      <c r="X183" s="650"/>
      <c r="Y183" s="650"/>
      <c r="Z183" s="650"/>
      <c r="AA183" s="650"/>
      <c r="AB183" s="650"/>
      <c r="AC183" s="650"/>
      <c r="AD183" s="650"/>
      <c r="AE183" s="650"/>
      <c r="AF183" s="650"/>
      <c r="AG183" s="650"/>
      <c r="AH183" s="650"/>
      <c r="AI183" s="650"/>
      <c r="AJ183" s="650"/>
      <c r="AK183" s="650"/>
      <c r="AL183" s="650"/>
      <c r="AM183" s="650"/>
      <c r="AN183" s="650"/>
      <c r="AO183" s="650"/>
      <c r="AP183" s="650"/>
      <c r="AQ183" s="650"/>
      <c r="AR183" s="650"/>
      <c r="AS183" s="650"/>
      <c r="AT183" s="650"/>
      <c r="AU183" s="650"/>
      <c r="AV183" s="650"/>
      <c r="AW183" s="650"/>
      <c r="AX183" s="650"/>
      <c r="AY183" s="650"/>
      <c r="AZ183" s="650"/>
      <c r="BA183" s="650"/>
      <c r="BB183" s="650"/>
      <c r="BC183" s="650"/>
      <c r="BD183" s="650"/>
      <c r="BE183" s="650"/>
      <c r="BF183" s="650"/>
      <c r="BG183" s="650"/>
      <c r="BH183" s="650"/>
      <c r="BI183" s="650"/>
      <c r="BJ183" s="650"/>
      <c r="BK183" s="650"/>
      <c r="BL183" s="650"/>
      <c r="BM183" s="650"/>
      <c r="BN183" s="650"/>
      <c r="BO183" s="650"/>
      <c r="BP183" s="650"/>
      <c r="BQ183" s="650"/>
      <c r="BR183" s="650"/>
      <c r="BS183" s="650"/>
      <c r="BT183" s="650"/>
      <c r="BU183" s="650"/>
      <c r="BV183" s="650"/>
      <c r="BW183" s="650"/>
      <c r="BX183" s="650"/>
      <c r="BY183" s="650"/>
      <c r="BZ183" s="650"/>
      <c r="CA183" s="650"/>
      <c r="CB183" s="650"/>
      <c r="CC183" s="650"/>
      <c r="CD183" s="650"/>
      <c r="CE183" s="650"/>
      <c r="CF183" s="650"/>
      <c r="CG183" s="650"/>
      <c r="CH183" s="650"/>
      <c r="CI183" s="650"/>
      <c r="CJ183" s="650"/>
      <c r="CK183" s="650"/>
      <c r="CL183" s="650"/>
      <c r="CM183" s="650"/>
      <c r="CN183" s="650"/>
    </row>
    <row r="184" spans="1:92" s="649" customFormat="1" ht="43.5" customHeight="1" x14ac:dyDescent="0.25">
      <c r="A184" s="1065"/>
      <c r="B184" s="1117"/>
      <c r="C184" s="853" t="s">
        <v>494</v>
      </c>
      <c r="D184" s="864">
        <v>1</v>
      </c>
      <c r="E184" s="798">
        <v>0.2</v>
      </c>
      <c r="F184" s="866">
        <v>1490000</v>
      </c>
      <c r="G184" s="662">
        <v>15</v>
      </c>
      <c r="H184" s="662">
        <f t="shared" si="22"/>
        <v>4470000</v>
      </c>
      <c r="I184" s="794"/>
      <c r="J184" s="795"/>
      <c r="K184" s="857"/>
      <c r="L184" s="741"/>
      <c r="M184" s="650"/>
      <c r="N184" s="650"/>
      <c r="O184" s="650"/>
      <c r="P184" s="650"/>
      <c r="Q184" s="650"/>
      <c r="R184" s="650"/>
      <c r="S184" s="650"/>
      <c r="T184" s="650"/>
      <c r="U184" s="650"/>
      <c r="V184" s="650"/>
      <c r="W184" s="650"/>
      <c r="X184" s="650"/>
      <c r="Y184" s="650"/>
      <c r="Z184" s="650"/>
      <c r="AA184" s="650"/>
      <c r="AB184" s="650"/>
      <c r="AC184" s="650"/>
      <c r="AD184" s="650"/>
      <c r="AE184" s="650"/>
      <c r="AF184" s="650"/>
      <c r="AG184" s="650"/>
      <c r="AH184" s="650"/>
      <c r="AI184" s="650"/>
      <c r="AJ184" s="650"/>
      <c r="AK184" s="650"/>
      <c r="AL184" s="650"/>
      <c r="AM184" s="650"/>
      <c r="AN184" s="650"/>
      <c r="AO184" s="650"/>
      <c r="AP184" s="650"/>
      <c r="AQ184" s="650"/>
      <c r="AR184" s="650"/>
      <c r="AS184" s="650"/>
      <c r="AT184" s="650"/>
      <c r="AU184" s="650"/>
      <c r="AV184" s="650"/>
      <c r="AW184" s="650"/>
      <c r="AX184" s="650"/>
      <c r="AY184" s="650"/>
      <c r="AZ184" s="650"/>
      <c r="BA184" s="650"/>
      <c r="BB184" s="650"/>
      <c r="BC184" s="650"/>
      <c r="BD184" s="650"/>
      <c r="BE184" s="650"/>
      <c r="BF184" s="650"/>
      <c r="BG184" s="650"/>
      <c r="BH184" s="650"/>
      <c r="BI184" s="650"/>
      <c r="BJ184" s="650"/>
      <c r="BK184" s="650"/>
      <c r="BL184" s="650"/>
      <c r="BM184" s="650"/>
      <c r="BN184" s="650"/>
      <c r="BO184" s="650"/>
      <c r="BP184" s="650"/>
      <c r="BQ184" s="650"/>
      <c r="BR184" s="650"/>
      <c r="BS184" s="650"/>
      <c r="BT184" s="650"/>
      <c r="BU184" s="650"/>
      <c r="BV184" s="650"/>
      <c r="BW184" s="650"/>
      <c r="BX184" s="650"/>
      <c r="BY184" s="650"/>
      <c r="BZ184" s="650"/>
      <c r="CA184" s="650"/>
      <c r="CB184" s="650"/>
      <c r="CC184" s="650"/>
      <c r="CD184" s="650"/>
      <c r="CE184" s="650"/>
      <c r="CF184" s="650"/>
      <c r="CG184" s="650"/>
      <c r="CH184" s="650"/>
      <c r="CI184" s="650"/>
      <c r="CJ184" s="650"/>
      <c r="CK184" s="650"/>
      <c r="CL184" s="650"/>
      <c r="CM184" s="650"/>
      <c r="CN184" s="650"/>
    </row>
    <row r="185" spans="1:92" s="649" customFormat="1" ht="39" customHeight="1" x14ac:dyDescent="0.25">
      <c r="A185" s="1066"/>
      <c r="B185" s="1118"/>
      <c r="C185" s="648" t="s">
        <v>449</v>
      </c>
      <c r="D185" s="719"/>
      <c r="E185" s="666"/>
      <c r="F185" s="739"/>
      <c r="G185" s="667">
        <f>(D183*G183)+(D184*G184)</f>
        <v>35</v>
      </c>
      <c r="H185" s="667">
        <f>SUM(H183:H184)</f>
        <v>12516000</v>
      </c>
      <c r="I185" s="794"/>
      <c r="J185" s="795">
        <f>H185</f>
        <v>12516000</v>
      </c>
      <c r="K185" s="857"/>
      <c r="L185" s="741"/>
      <c r="M185" s="650"/>
      <c r="N185" s="650"/>
      <c r="O185" s="650"/>
      <c r="P185" s="650"/>
      <c r="Q185" s="650"/>
      <c r="R185" s="650"/>
      <c r="S185" s="650"/>
      <c r="T185" s="650"/>
      <c r="U185" s="650"/>
      <c r="V185" s="650"/>
      <c r="W185" s="650"/>
      <c r="X185" s="650"/>
      <c r="Y185" s="650"/>
      <c r="Z185" s="650"/>
      <c r="AA185" s="650"/>
      <c r="AB185" s="650"/>
      <c r="AC185" s="650"/>
      <c r="AD185" s="650"/>
      <c r="AE185" s="650"/>
      <c r="AF185" s="650"/>
      <c r="AG185" s="650"/>
      <c r="AH185" s="650"/>
      <c r="AI185" s="650"/>
      <c r="AJ185" s="650"/>
      <c r="AK185" s="650"/>
      <c r="AL185" s="650"/>
      <c r="AM185" s="650"/>
      <c r="AN185" s="650"/>
      <c r="AO185" s="650"/>
      <c r="AP185" s="650"/>
      <c r="AQ185" s="650"/>
      <c r="AR185" s="650"/>
      <c r="AS185" s="650"/>
      <c r="AT185" s="650"/>
      <c r="AU185" s="650"/>
      <c r="AV185" s="650"/>
      <c r="AW185" s="650"/>
      <c r="AX185" s="650"/>
      <c r="AY185" s="650"/>
      <c r="AZ185" s="650"/>
      <c r="BA185" s="650"/>
      <c r="BB185" s="650"/>
      <c r="BC185" s="650"/>
      <c r="BD185" s="650"/>
      <c r="BE185" s="650"/>
      <c r="BF185" s="650"/>
      <c r="BG185" s="650"/>
      <c r="BH185" s="650"/>
      <c r="BI185" s="650"/>
      <c r="BJ185" s="650"/>
      <c r="BK185" s="650"/>
      <c r="BL185" s="650"/>
      <c r="BM185" s="650"/>
      <c r="BN185" s="650"/>
      <c r="BO185" s="650"/>
      <c r="BP185" s="650"/>
      <c r="BQ185" s="650"/>
      <c r="BR185" s="650"/>
      <c r="BS185" s="650"/>
      <c r="BT185" s="650"/>
      <c r="BU185" s="650"/>
      <c r="BV185" s="650"/>
      <c r="BW185" s="650"/>
      <c r="BX185" s="650"/>
      <c r="BY185" s="650"/>
      <c r="BZ185" s="650"/>
      <c r="CA185" s="650"/>
      <c r="CB185" s="650"/>
      <c r="CC185" s="650"/>
      <c r="CD185" s="650"/>
      <c r="CE185" s="650"/>
      <c r="CF185" s="650"/>
      <c r="CG185" s="650"/>
      <c r="CH185" s="650"/>
      <c r="CI185" s="650"/>
      <c r="CJ185" s="650"/>
      <c r="CK185" s="650"/>
      <c r="CL185" s="650"/>
      <c r="CM185" s="650"/>
      <c r="CN185" s="650"/>
    </row>
    <row r="186" spans="1:92" s="649" customFormat="1" ht="51.75" customHeight="1" x14ac:dyDescent="0.25">
      <c r="A186" s="1064" t="s">
        <v>604</v>
      </c>
      <c r="B186" s="1116" t="s">
        <v>693</v>
      </c>
      <c r="C186" s="853" t="s">
        <v>495</v>
      </c>
      <c r="D186" s="864">
        <v>1</v>
      </c>
      <c r="E186" s="798">
        <v>0.27</v>
      </c>
      <c r="F186" s="866">
        <v>1490000</v>
      </c>
      <c r="G186" s="662">
        <v>20</v>
      </c>
      <c r="H186" s="662">
        <f t="shared" ref="H186:H187" si="23">D186*E186*F186*G186</f>
        <v>8046000</v>
      </c>
      <c r="I186" s="794"/>
      <c r="J186" s="795"/>
      <c r="K186" s="857"/>
      <c r="L186" s="741"/>
      <c r="M186" s="650"/>
      <c r="N186" s="650"/>
      <c r="O186" s="650"/>
      <c r="P186" s="650"/>
      <c r="Q186" s="650"/>
      <c r="R186" s="650"/>
      <c r="S186" s="650"/>
      <c r="T186" s="650"/>
      <c r="U186" s="650"/>
      <c r="V186" s="650"/>
      <c r="W186" s="650"/>
      <c r="X186" s="650"/>
      <c r="Y186" s="650"/>
      <c r="Z186" s="650"/>
      <c r="AA186" s="650"/>
      <c r="AB186" s="650"/>
      <c r="AC186" s="650"/>
      <c r="AD186" s="650"/>
      <c r="AE186" s="650"/>
      <c r="AF186" s="650"/>
      <c r="AG186" s="650"/>
      <c r="AH186" s="650"/>
      <c r="AI186" s="650"/>
      <c r="AJ186" s="650"/>
      <c r="AK186" s="650"/>
      <c r="AL186" s="650"/>
      <c r="AM186" s="650"/>
      <c r="AN186" s="650"/>
      <c r="AO186" s="650"/>
      <c r="AP186" s="650"/>
      <c r="AQ186" s="650"/>
      <c r="AR186" s="650"/>
      <c r="AS186" s="650"/>
      <c r="AT186" s="650"/>
      <c r="AU186" s="650"/>
      <c r="AV186" s="650"/>
      <c r="AW186" s="650"/>
      <c r="AX186" s="650"/>
      <c r="AY186" s="650"/>
      <c r="AZ186" s="650"/>
      <c r="BA186" s="650"/>
      <c r="BB186" s="650"/>
      <c r="BC186" s="650"/>
      <c r="BD186" s="650"/>
      <c r="BE186" s="650"/>
      <c r="BF186" s="650"/>
      <c r="BG186" s="650"/>
      <c r="BH186" s="650"/>
      <c r="BI186" s="650"/>
      <c r="BJ186" s="650"/>
      <c r="BK186" s="650"/>
      <c r="BL186" s="650"/>
      <c r="BM186" s="650"/>
      <c r="BN186" s="650"/>
      <c r="BO186" s="650"/>
      <c r="BP186" s="650"/>
      <c r="BQ186" s="650"/>
      <c r="BR186" s="650"/>
      <c r="BS186" s="650"/>
      <c r="BT186" s="650"/>
      <c r="BU186" s="650"/>
      <c r="BV186" s="650"/>
      <c r="BW186" s="650"/>
      <c r="BX186" s="650"/>
      <c r="BY186" s="650"/>
      <c r="BZ186" s="650"/>
      <c r="CA186" s="650"/>
      <c r="CB186" s="650"/>
      <c r="CC186" s="650"/>
      <c r="CD186" s="650"/>
      <c r="CE186" s="650"/>
      <c r="CF186" s="650"/>
      <c r="CG186" s="650"/>
      <c r="CH186" s="650"/>
      <c r="CI186" s="650"/>
      <c r="CJ186" s="650"/>
      <c r="CK186" s="650"/>
      <c r="CL186" s="650"/>
      <c r="CM186" s="650"/>
      <c r="CN186" s="650"/>
    </row>
    <row r="187" spans="1:92" s="649" customFormat="1" ht="45" customHeight="1" x14ac:dyDescent="0.25">
      <c r="A187" s="1065"/>
      <c r="B187" s="1117"/>
      <c r="C187" s="853" t="s">
        <v>494</v>
      </c>
      <c r="D187" s="864">
        <v>1</v>
      </c>
      <c r="E187" s="798">
        <v>0.2</v>
      </c>
      <c r="F187" s="866">
        <v>1490000</v>
      </c>
      <c r="G187" s="662">
        <v>15</v>
      </c>
      <c r="H187" s="662">
        <f t="shared" si="23"/>
        <v>4470000</v>
      </c>
      <c r="I187" s="794"/>
      <c r="J187" s="795"/>
      <c r="K187" s="857"/>
      <c r="L187" s="741"/>
      <c r="M187" s="650"/>
      <c r="N187" s="650"/>
      <c r="O187" s="650"/>
      <c r="P187" s="650"/>
      <c r="Q187" s="650"/>
      <c r="R187" s="650"/>
      <c r="S187" s="650"/>
      <c r="T187" s="650"/>
      <c r="U187" s="650"/>
      <c r="V187" s="650"/>
      <c r="W187" s="650"/>
      <c r="X187" s="650"/>
      <c r="Y187" s="650"/>
      <c r="Z187" s="650"/>
      <c r="AA187" s="650"/>
      <c r="AB187" s="650"/>
      <c r="AC187" s="650"/>
      <c r="AD187" s="650"/>
      <c r="AE187" s="650"/>
      <c r="AF187" s="650"/>
      <c r="AG187" s="650"/>
      <c r="AH187" s="650"/>
      <c r="AI187" s="650"/>
      <c r="AJ187" s="650"/>
      <c r="AK187" s="650"/>
      <c r="AL187" s="650"/>
      <c r="AM187" s="650"/>
      <c r="AN187" s="650"/>
      <c r="AO187" s="650"/>
      <c r="AP187" s="650"/>
      <c r="AQ187" s="650"/>
      <c r="AR187" s="650"/>
      <c r="AS187" s="650"/>
      <c r="AT187" s="650"/>
      <c r="AU187" s="650"/>
      <c r="AV187" s="650"/>
      <c r="AW187" s="650"/>
      <c r="AX187" s="650"/>
      <c r="AY187" s="650"/>
      <c r="AZ187" s="650"/>
      <c r="BA187" s="650"/>
      <c r="BB187" s="650"/>
      <c r="BC187" s="650"/>
      <c r="BD187" s="650"/>
      <c r="BE187" s="650"/>
      <c r="BF187" s="650"/>
      <c r="BG187" s="650"/>
      <c r="BH187" s="650"/>
      <c r="BI187" s="650"/>
      <c r="BJ187" s="650"/>
      <c r="BK187" s="650"/>
      <c r="BL187" s="650"/>
      <c r="BM187" s="650"/>
      <c r="BN187" s="650"/>
      <c r="BO187" s="650"/>
      <c r="BP187" s="650"/>
      <c r="BQ187" s="650"/>
      <c r="BR187" s="650"/>
      <c r="BS187" s="650"/>
      <c r="BT187" s="650"/>
      <c r="BU187" s="650"/>
      <c r="BV187" s="650"/>
      <c r="BW187" s="650"/>
      <c r="BX187" s="650"/>
      <c r="BY187" s="650"/>
      <c r="BZ187" s="650"/>
      <c r="CA187" s="650"/>
      <c r="CB187" s="650"/>
      <c r="CC187" s="650"/>
      <c r="CD187" s="650"/>
      <c r="CE187" s="650"/>
      <c r="CF187" s="650"/>
      <c r="CG187" s="650"/>
      <c r="CH187" s="650"/>
      <c r="CI187" s="650"/>
      <c r="CJ187" s="650"/>
      <c r="CK187" s="650"/>
      <c r="CL187" s="650"/>
      <c r="CM187" s="650"/>
      <c r="CN187" s="650"/>
    </row>
    <row r="188" spans="1:92" s="649" customFormat="1" ht="46.5" customHeight="1" x14ac:dyDescent="0.25">
      <c r="A188" s="1066"/>
      <c r="B188" s="1118"/>
      <c r="C188" s="648" t="s">
        <v>449</v>
      </c>
      <c r="D188" s="719"/>
      <c r="E188" s="666"/>
      <c r="F188" s="739"/>
      <c r="G188" s="667">
        <f>(D186*G186)+(D187*G187)</f>
        <v>35</v>
      </c>
      <c r="H188" s="667">
        <f>SUM(H186:H187)</f>
        <v>12516000</v>
      </c>
      <c r="I188" s="794"/>
      <c r="J188" s="795">
        <f>H188</f>
        <v>12516000</v>
      </c>
      <c r="K188" s="857"/>
      <c r="L188" s="741"/>
      <c r="M188" s="650"/>
      <c r="N188" s="650"/>
      <c r="O188" s="650"/>
      <c r="P188" s="650"/>
      <c r="Q188" s="650"/>
      <c r="R188" s="650"/>
      <c r="S188" s="650"/>
      <c r="T188" s="650"/>
      <c r="U188" s="650"/>
      <c r="V188" s="650"/>
      <c r="W188" s="650"/>
      <c r="X188" s="650"/>
      <c r="Y188" s="650"/>
      <c r="Z188" s="650"/>
      <c r="AA188" s="650"/>
      <c r="AB188" s="650"/>
      <c r="AC188" s="650"/>
      <c r="AD188" s="650"/>
      <c r="AE188" s="650"/>
      <c r="AF188" s="650"/>
      <c r="AG188" s="650"/>
      <c r="AH188" s="650"/>
      <c r="AI188" s="650"/>
      <c r="AJ188" s="650"/>
      <c r="AK188" s="650"/>
      <c r="AL188" s="650"/>
      <c r="AM188" s="650"/>
      <c r="AN188" s="650"/>
      <c r="AO188" s="650"/>
      <c r="AP188" s="650"/>
      <c r="AQ188" s="650"/>
      <c r="AR188" s="650"/>
      <c r="AS188" s="650"/>
      <c r="AT188" s="650"/>
      <c r="AU188" s="650"/>
      <c r="AV188" s="650"/>
      <c r="AW188" s="650"/>
      <c r="AX188" s="650"/>
      <c r="AY188" s="650"/>
      <c r="AZ188" s="650"/>
      <c r="BA188" s="650"/>
      <c r="BB188" s="650"/>
      <c r="BC188" s="650"/>
      <c r="BD188" s="650"/>
      <c r="BE188" s="650"/>
      <c r="BF188" s="650"/>
      <c r="BG188" s="650"/>
      <c r="BH188" s="650"/>
      <c r="BI188" s="650"/>
      <c r="BJ188" s="650"/>
      <c r="BK188" s="650"/>
      <c r="BL188" s="650"/>
      <c r="BM188" s="650"/>
      <c r="BN188" s="650"/>
      <c r="BO188" s="650"/>
      <c r="BP188" s="650"/>
      <c r="BQ188" s="650"/>
      <c r="BR188" s="650"/>
      <c r="BS188" s="650"/>
      <c r="BT188" s="650"/>
      <c r="BU188" s="650"/>
      <c r="BV188" s="650"/>
      <c r="BW188" s="650"/>
      <c r="BX188" s="650"/>
      <c r="BY188" s="650"/>
      <c r="BZ188" s="650"/>
      <c r="CA188" s="650"/>
      <c r="CB188" s="650"/>
      <c r="CC188" s="650"/>
      <c r="CD188" s="650"/>
      <c r="CE188" s="650"/>
      <c r="CF188" s="650"/>
      <c r="CG188" s="650"/>
      <c r="CH188" s="650"/>
      <c r="CI188" s="650"/>
      <c r="CJ188" s="650"/>
      <c r="CK188" s="650"/>
      <c r="CL188" s="650"/>
      <c r="CM188" s="650"/>
      <c r="CN188" s="650"/>
    </row>
    <row r="189" spans="1:92" s="649" customFormat="1" ht="43.5" customHeight="1" x14ac:dyDescent="0.25">
      <c r="A189" s="1064" t="s">
        <v>604</v>
      </c>
      <c r="B189" s="1116" t="s">
        <v>692</v>
      </c>
      <c r="C189" s="853" t="s">
        <v>493</v>
      </c>
      <c r="D189" s="864">
        <v>1</v>
      </c>
      <c r="E189" s="798">
        <v>0.27</v>
      </c>
      <c r="F189" s="866">
        <v>1490000</v>
      </c>
      <c r="G189" s="662">
        <v>20</v>
      </c>
      <c r="H189" s="662">
        <f t="shared" ref="H189:H190" si="24">D189*E189*F189*G189</f>
        <v>8046000</v>
      </c>
      <c r="I189" s="794"/>
      <c r="J189" s="795"/>
      <c r="K189" s="857"/>
      <c r="L189" s="741"/>
      <c r="M189" s="650"/>
      <c r="N189" s="650"/>
      <c r="O189" s="650"/>
      <c r="P189" s="650"/>
      <c r="Q189" s="650"/>
      <c r="R189" s="650"/>
      <c r="S189" s="650"/>
      <c r="T189" s="650"/>
      <c r="U189" s="650"/>
      <c r="V189" s="650"/>
      <c r="W189" s="650"/>
      <c r="X189" s="650"/>
      <c r="Y189" s="650"/>
      <c r="Z189" s="650"/>
      <c r="AA189" s="650"/>
      <c r="AB189" s="650"/>
      <c r="AC189" s="650"/>
      <c r="AD189" s="650"/>
      <c r="AE189" s="650"/>
      <c r="AF189" s="650"/>
      <c r="AG189" s="650"/>
      <c r="AH189" s="650"/>
      <c r="AI189" s="650"/>
      <c r="AJ189" s="650"/>
      <c r="AK189" s="650"/>
      <c r="AL189" s="650"/>
      <c r="AM189" s="650"/>
      <c r="AN189" s="650"/>
      <c r="AO189" s="650"/>
      <c r="AP189" s="650"/>
      <c r="AQ189" s="650"/>
      <c r="AR189" s="650"/>
      <c r="AS189" s="650"/>
      <c r="AT189" s="650"/>
      <c r="AU189" s="650"/>
      <c r="AV189" s="650"/>
      <c r="AW189" s="650"/>
      <c r="AX189" s="650"/>
      <c r="AY189" s="650"/>
      <c r="AZ189" s="650"/>
      <c r="BA189" s="650"/>
      <c r="BB189" s="650"/>
      <c r="BC189" s="650"/>
      <c r="BD189" s="650"/>
      <c r="BE189" s="650"/>
      <c r="BF189" s="650"/>
      <c r="BG189" s="650"/>
      <c r="BH189" s="650"/>
      <c r="BI189" s="650"/>
      <c r="BJ189" s="650"/>
      <c r="BK189" s="650"/>
      <c r="BL189" s="650"/>
      <c r="BM189" s="650"/>
      <c r="BN189" s="650"/>
      <c r="BO189" s="650"/>
      <c r="BP189" s="650"/>
      <c r="BQ189" s="650"/>
      <c r="BR189" s="650"/>
      <c r="BS189" s="650"/>
      <c r="BT189" s="650"/>
      <c r="BU189" s="650"/>
      <c r="BV189" s="650"/>
      <c r="BW189" s="650"/>
      <c r="BX189" s="650"/>
      <c r="BY189" s="650"/>
      <c r="BZ189" s="650"/>
      <c r="CA189" s="650"/>
      <c r="CB189" s="650"/>
      <c r="CC189" s="650"/>
      <c r="CD189" s="650"/>
      <c r="CE189" s="650"/>
      <c r="CF189" s="650"/>
      <c r="CG189" s="650"/>
      <c r="CH189" s="650"/>
      <c r="CI189" s="650"/>
      <c r="CJ189" s="650"/>
      <c r="CK189" s="650"/>
      <c r="CL189" s="650"/>
      <c r="CM189" s="650"/>
      <c r="CN189" s="650"/>
    </row>
    <row r="190" spans="1:92" s="649" customFormat="1" ht="42" customHeight="1" x14ac:dyDescent="0.25">
      <c r="A190" s="1065"/>
      <c r="B190" s="1117"/>
      <c r="C190" s="853" t="s">
        <v>494</v>
      </c>
      <c r="D190" s="864">
        <v>1</v>
      </c>
      <c r="E190" s="798">
        <v>0.2</v>
      </c>
      <c r="F190" s="866">
        <v>1490000</v>
      </c>
      <c r="G190" s="662">
        <v>15</v>
      </c>
      <c r="H190" s="662">
        <f t="shared" si="24"/>
        <v>4470000</v>
      </c>
      <c r="I190" s="794"/>
      <c r="J190" s="795"/>
      <c r="K190" s="857"/>
      <c r="L190" s="741"/>
      <c r="M190" s="650"/>
      <c r="N190" s="650"/>
      <c r="O190" s="650"/>
      <c r="P190" s="650"/>
      <c r="Q190" s="650"/>
      <c r="R190" s="650"/>
      <c r="S190" s="650"/>
      <c r="T190" s="650"/>
      <c r="U190" s="650"/>
      <c r="V190" s="650"/>
      <c r="W190" s="650"/>
      <c r="X190" s="650"/>
      <c r="Y190" s="650"/>
      <c r="Z190" s="650"/>
      <c r="AA190" s="650"/>
      <c r="AB190" s="650"/>
      <c r="AC190" s="650"/>
      <c r="AD190" s="650"/>
      <c r="AE190" s="650"/>
      <c r="AF190" s="650"/>
      <c r="AG190" s="650"/>
      <c r="AH190" s="650"/>
      <c r="AI190" s="650"/>
      <c r="AJ190" s="650"/>
      <c r="AK190" s="650"/>
      <c r="AL190" s="650"/>
      <c r="AM190" s="650"/>
      <c r="AN190" s="650"/>
      <c r="AO190" s="650"/>
      <c r="AP190" s="650"/>
      <c r="AQ190" s="650"/>
      <c r="AR190" s="650"/>
      <c r="AS190" s="650"/>
      <c r="AT190" s="650"/>
      <c r="AU190" s="650"/>
      <c r="AV190" s="650"/>
      <c r="AW190" s="650"/>
      <c r="AX190" s="650"/>
      <c r="AY190" s="650"/>
      <c r="AZ190" s="650"/>
      <c r="BA190" s="650"/>
      <c r="BB190" s="650"/>
      <c r="BC190" s="650"/>
      <c r="BD190" s="650"/>
      <c r="BE190" s="650"/>
      <c r="BF190" s="650"/>
      <c r="BG190" s="650"/>
      <c r="BH190" s="650"/>
      <c r="BI190" s="650"/>
      <c r="BJ190" s="650"/>
      <c r="BK190" s="650"/>
      <c r="BL190" s="650"/>
      <c r="BM190" s="650"/>
      <c r="BN190" s="650"/>
      <c r="BO190" s="650"/>
      <c r="BP190" s="650"/>
      <c r="BQ190" s="650"/>
      <c r="BR190" s="650"/>
      <c r="BS190" s="650"/>
      <c r="BT190" s="650"/>
      <c r="BU190" s="650"/>
      <c r="BV190" s="650"/>
      <c r="BW190" s="650"/>
      <c r="BX190" s="650"/>
      <c r="BY190" s="650"/>
      <c r="BZ190" s="650"/>
      <c r="CA190" s="650"/>
      <c r="CB190" s="650"/>
      <c r="CC190" s="650"/>
      <c r="CD190" s="650"/>
      <c r="CE190" s="650"/>
      <c r="CF190" s="650"/>
      <c r="CG190" s="650"/>
      <c r="CH190" s="650"/>
      <c r="CI190" s="650"/>
      <c r="CJ190" s="650"/>
      <c r="CK190" s="650"/>
      <c r="CL190" s="650"/>
      <c r="CM190" s="650"/>
      <c r="CN190" s="650"/>
    </row>
    <row r="191" spans="1:92" s="649" customFormat="1" ht="34.5" customHeight="1" x14ac:dyDescent="0.25">
      <c r="A191" s="1066"/>
      <c r="B191" s="1118"/>
      <c r="C191" s="648" t="s">
        <v>449</v>
      </c>
      <c r="D191" s="719"/>
      <c r="E191" s="666"/>
      <c r="F191" s="739"/>
      <c r="G191" s="667">
        <f>(D189*G189)+(D190*G190)</f>
        <v>35</v>
      </c>
      <c r="H191" s="667">
        <f>SUM(H189:H190)</f>
        <v>12516000</v>
      </c>
      <c r="I191" s="794"/>
      <c r="J191" s="795">
        <f>H191</f>
        <v>12516000</v>
      </c>
      <c r="K191" s="857"/>
      <c r="L191" s="741"/>
      <c r="M191" s="650"/>
      <c r="N191" s="650"/>
      <c r="O191" s="650"/>
      <c r="P191" s="650"/>
      <c r="Q191" s="650"/>
      <c r="R191" s="650"/>
      <c r="S191" s="650"/>
      <c r="T191" s="650"/>
      <c r="U191" s="650"/>
      <c r="V191" s="650"/>
      <c r="W191" s="650"/>
      <c r="X191" s="650"/>
      <c r="Y191" s="650"/>
      <c r="Z191" s="650"/>
      <c r="AA191" s="650"/>
      <c r="AB191" s="650"/>
      <c r="AC191" s="650"/>
      <c r="AD191" s="650"/>
      <c r="AE191" s="650"/>
      <c r="AF191" s="650"/>
      <c r="AG191" s="650"/>
      <c r="AH191" s="650"/>
      <c r="AI191" s="650"/>
      <c r="AJ191" s="650"/>
      <c r="AK191" s="650"/>
      <c r="AL191" s="650"/>
      <c r="AM191" s="650"/>
      <c r="AN191" s="650"/>
      <c r="AO191" s="650"/>
      <c r="AP191" s="650"/>
      <c r="AQ191" s="650"/>
      <c r="AR191" s="650"/>
      <c r="AS191" s="650"/>
      <c r="AT191" s="650"/>
      <c r="AU191" s="650"/>
      <c r="AV191" s="650"/>
      <c r="AW191" s="650"/>
      <c r="AX191" s="650"/>
      <c r="AY191" s="650"/>
      <c r="AZ191" s="650"/>
      <c r="BA191" s="650"/>
      <c r="BB191" s="650"/>
      <c r="BC191" s="650"/>
      <c r="BD191" s="650"/>
      <c r="BE191" s="650"/>
      <c r="BF191" s="650"/>
      <c r="BG191" s="650"/>
      <c r="BH191" s="650"/>
      <c r="BI191" s="650"/>
      <c r="BJ191" s="650"/>
      <c r="BK191" s="650"/>
      <c r="BL191" s="650"/>
      <c r="BM191" s="650"/>
      <c r="BN191" s="650"/>
      <c r="BO191" s="650"/>
      <c r="BP191" s="650"/>
      <c r="BQ191" s="650"/>
      <c r="BR191" s="650"/>
      <c r="BS191" s="650"/>
      <c r="BT191" s="650"/>
      <c r="BU191" s="650"/>
      <c r="BV191" s="650"/>
      <c r="BW191" s="650"/>
      <c r="BX191" s="650"/>
      <c r="BY191" s="650"/>
      <c r="BZ191" s="650"/>
      <c r="CA191" s="650"/>
      <c r="CB191" s="650"/>
      <c r="CC191" s="650"/>
      <c r="CD191" s="650"/>
      <c r="CE191" s="650"/>
      <c r="CF191" s="650"/>
      <c r="CG191" s="650"/>
      <c r="CH191" s="650"/>
      <c r="CI191" s="650"/>
      <c r="CJ191" s="650"/>
      <c r="CK191" s="650"/>
      <c r="CL191" s="650"/>
      <c r="CM191" s="650"/>
      <c r="CN191" s="650"/>
    </row>
    <row r="192" spans="1:92" s="649" customFormat="1" ht="43.5" customHeight="1" x14ac:dyDescent="0.25">
      <c r="A192" s="1111" t="s">
        <v>538</v>
      </c>
      <c r="B192" s="1060" t="s">
        <v>643</v>
      </c>
      <c r="C192" s="774" t="s">
        <v>493</v>
      </c>
      <c r="D192" s="774">
        <v>1</v>
      </c>
      <c r="E192" s="773">
        <v>0.27</v>
      </c>
      <c r="F192" s="775">
        <v>1490000</v>
      </c>
      <c r="G192" s="776">
        <v>30</v>
      </c>
      <c r="H192" s="664">
        <f>D192*E192*F192*G192</f>
        <v>12069000</v>
      </c>
      <c r="I192" s="794"/>
      <c r="J192" s="795"/>
      <c r="K192" s="773"/>
      <c r="L192" s="741"/>
      <c r="M192" s="650"/>
      <c r="N192" s="650"/>
      <c r="O192" s="650"/>
      <c r="P192" s="650"/>
      <c r="Q192" s="650"/>
      <c r="R192" s="650"/>
      <c r="S192" s="650"/>
      <c r="T192" s="650"/>
      <c r="U192" s="650"/>
      <c r="V192" s="650"/>
      <c r="W192" s="650"/>
      <c r="X192" s="650"/>
      <c r="Y192" s="650"/>
      <c r="Z192" s="650"/>
      <c r="AA192" s="650"/>
      <c r="AB192" s="650"/>
      <c r="AC192" s="650"/>
      <c r="AD192" s="650"/>
      <c r="AE192" s="650"/>
      <c r="AF192" s="650"/>
      <c r="AG192" s="650"/>
      <c r="AH192" s="650"/>
      <c r="AI192" s="650"/>
      <c r="AJ192" s="650"/>
      <c r="AK192" s="650"/>
      <c r="AL192" s="650"/>
      <c r="AM192" s="650"/>
      <c r="AN192" s="650"/>
      <c r="AO192" s="650"/>
      <c r="AP192" s="650"/>
      <c r="AQ192" s="650"/>
      <c r="AR192" s="650"/>
      <c r="AS192" s="650"/>
      <c r="AT192" s="650"/>
      <c r="AU192" s="650"/>
      <c r="AV192" s="650"/>
      <c r="AW192" s="650"/>
      <c r="AX192" s="650"/>
      <c r="AY192" s="650"/>
      <c r="AZ192" s="650"/>
      <c r="BA192" s="650"/>
      <c r="BB192" s="650"/>
      <c r="BC192" s="650"/>
      <c r="BD192" s="650"/>
      <c r="BE192" s="650"/>
      <c r="BF192" s="650"/>
      <c r="BG192" s="650"/>
      <c r="BH192" s="650"/>
      <c r="BI192" s="650"/>
      <c r="BJ192" s="650"/>
      <c r="BK192" s="650"/>
      <c r="BL192" s="650"/>
      <c r="BM192" s="650"/>
      <c r="BN192" s="650"/>
      <c r="BO192" s="650"/>
      <c r="BP192" s="650"/>
      <c r="BQ192" s="650"/>
      <c r="BR192" s="650"/>
      <c r="BS192" s="650"/>
      <c r="BT192" s="650"/>
      <c r="BU192" s="650"/>
      <c r="BV192" s="650"/>
      <c r="BW192" s="650"/>
      <c r="BX192" s="650"/>
      <c r="BY192" s="650"/>
      <c r="BZ192" s="650"/>
      <c r="CA192" s="650"/>
      <c r="CB192" s="650"/>
      <c r="CC192" s="650"/>
      <c r="CD192" s="650"/>
      <c r="CE192" s="650"/>
      <c r="CF192" s="650"/>
      <c r="CG192" s="650"/>
      <c r="CH192" s="650"/>
      <c r="CI192" s="650"/>
      <c r="CJ192" s="650"/>
      <c r="CK192" s="650"/>
      <c r="CL192" s="650"/>
      <c r="CM192" s="650"/>
      <c r="CN192" s="650"/>
    </row>
    <row r="193" spans="1:92" s="649" customFormat="1" ht="37.5" customHeight="1" x14ac:dyDescent="0.25">
      <c r="A193" s="1112"/>
      <c r="B193" s="1061"/>
      <c r="C193" s="774" t="s">
        <v>495</v>
      </c>
      <c r="D193" s="774">
        <v>1</v>
      </c>
      <c r="E193" s="773">
        <v>0.27</v>
      </c>
      <c r="F193" s="775">
        <v>1490000</v>
      </c>
      <c r="G193" s="776">
        <v>30</v>
      </c>
      <c r="H193" s="664">
        <f>E193*F193*G193*D193</f>
        <v>12069000</v>
      </c>
      <c r="I193" s="794"/>
      <c r="J193" s="795"/>
      <c r="K193" s="773"/>
      <c r="L193" s="741"/>
      <c r="M193" s="650"/>
      <c r="N193" s="650"/>
      <c r="O193" s="650"/>
      <c r="P193" s="650"/>
      <c r="Q193" s="650"/>
      <c r="R193" s="650"/>
      <c r="S193" s="650"/>
      <c r="T193" s="650"/>
      <c r="U193" s="650"/>
      <c r="V193" s="650"/>
      <c r="W193" s="650"/>
      <c r="X193" s="650"/>
      <c r="Y193" s="650"/>
      <c r="Z193" s="650"/>
      <c r="AA193" s="650"/>
      <c r="AB193" s="650"/>
      <c r="AC193" s="650"/>
      <c r="AD193" s="650"/>
      <c r="AE193" s="650"/>
      <c r="AF193" s="650"/>
      <c r="AG193" s="650"/>
      <c r="AH193" s="650"/>
      <c r="AI193" s="650"/>
      <c r="AJ193" s="650"/>
      <c r="AK193" s="650"/>
      <c r="AL193" s="650"/>
      <c r="AM193" s="650"/>
      <c r="AN193" s="650"/>
      <c r="AO193" s="650"/>
      <c r="AP193" s="650"/>
      <c r="AQ193" s="650"/>
      <c r="AR193" s="650"/>
      <c r="AS193" s="650"/>
      <c r="AT193" s="650"/>
      <c r="AU193" s="650"/>
      <c r="AV193" s="650"/>
      <c r="AW193" s="650"/>
      <c r="AX193" s="650"/>
      <c r="AY193" s="650"/>
      <c r="AZ193" s="650"/>
      <c r="BA193" s="650"/>
      <c r="BB193" s="650"/>
      <c r="BC193" s="650"/>
      <c r="BD193" s="650"/>
      <c r="BE193" s="650"/>
      <c r="BF193" s="650"/>
      <c r="BG193" s="650"/>
      <c r="BH193" s="650"/>
      <c r="BI193" s="650"/>
      <c r="BJ193" s="650"/>
      <c r="BK193" s="650"/>
      <c r="BL193" s="650"/>
      <c r="BM193" s="650"/>
      <c r="BN193" s="650"/>
      <c r="BO193" s="650"/>
      <c r="BP193" s="650"/>
      <c r="BQ193" s="650"/>
      <c r="BR193" s="650"/>
      <c r="BS193" s="650"/>
      <c r="BT193" s="650"/>
      <c r="BU193" s="650"/>
      <c r="BV193" s="650"/>
      <c r="BW193" s="650"/>
      <c r="BX193" s="650"/>
      <c r="BY193" s="650"/>
      <c r="BZ193" s="650"/>
      <c r="CA193" s="650"/>
      <c r="CB193" s="650"/>
      <c r="CC193" s="650"/>
      <c r="CD193" s="650"/>
      <c r="CE193" s="650"/>
      <c r="CF193" s="650"/>
      <c r="CG193" s="650"/>
      <c r="CH193" s="650"/>
      <c r="CI193" s="650"/>
      <c r="CJ193" s="650"/>
      <c r="CK193" s="650"/>
      <c r="CL193" s="650"/>
      <c r="CM193" s="650"/>
      <c r="CN193" s="650"/>
    </row>
    <row r="194" spans="1:92" s="649" customFormat="1" ht="36.75" customHeight="1" x14ac:dyDescent="0.25">
      <c r="A194" s="1113"/>
      <c r="B194" s="1062"/>
      <c r="C194" s="659" t="s">
        <v>449</v>
      </c>
      <c r="D194" s="665"/>
      <c r="E194" s="666"/>
      <c r="F194" s="737"/>
      <c r="G194" s="667">
        <f>G192+G193</f>
        <v>60</v>
      </c>
      <c r="H194" s="639">
        <f>H192+H193</f>
        <v>24138000</v>
      </c>
      <c r="I194" s="794"/>
      <c r="J194" s="795">
        <f>H194</f>
        <v>24138000</v>
      </c>
      <c r="K194" s="773"/>
      <c r="L194" s="792"/>
      <c r="M194" s="650"/>
      <c r="N194" s="650"/>
      <c r="O194" s="650"/>
      <c r="P194" s="650"/>
      <c r="Q194" s="650"/>
      <c r="R194" s="650"/>
      <c r="S194" s="650"/>
      <c r="T194" s="650"/>
      <c r="U194" s="650"/>
      <c r="V194" s="650"/>
      <c r="W194" s="650"/>
      <c r="X194" s="650"/>
      <c r="Y194" s="650"/>
      <c r="Z194" s="650"/>
      <c r="AA194" s="650"/>
      <c r="AB194" s="650"/>
      <c r="AC194" s="650"/>
      <c r="AD194" s="650"/>
      <c r="AE194" s="650"/>
      <c r="AF194" s="650"/>
      <c r="AG194" s="650"/>
      <c r="AH194" s="650"/>
      <c r="AI194" s="650"/>
      <c r="AJ194" s="650"/>
      <c r="AK194" s="650"/>
      <c r="AL194" s="650"/>
      <c r="AM194" s="650"/>
      <c r="AN194" s="650"/>
      <c r="AO194" s="650"/>
      <c r="AP194" s="650"/>
      <c r="AQ194" s="650"/>
      <c r="AR194" s="650"/>
      <c r="AS194" s="650"/>
      <c r="AT194" s="650"/>
      <c r="AU194" s="650"/>
      <c r="AV194" s="650"/>
      <c r="AW194" s="650"/>
      <c r="AX194" s="650"/>
      <c r="AY194" s="650"/>
      <c r="AZ194" s="650"/>
      <c r="BA194" s="650"/>
      <c r="BB194" s="650"/>
      <c r="BC194" s="650"/>
      <c r="BD194" s="650"/>
      <c r="BE194" s="650"/>
      <c r="BF194" s="650"/>
      <c r="BG194" s="650"/>
      <c r="BH194" s="650"/>
      <c r="BI194" s="650"/>
      <c r="BJ194" s="650"/>
      <c r="BK194" s="650"/>
      <c r="BL194" s="650"/>
      <c r="BM194" s="650"/>
      <c r="BN194" s="650"/>
      <c r="BO194" s="650"/>
      <c r="BP194" s="650"/>
      <c r="BQ194" s="650"/>
      <c r="BR194" s="650"/>
      <c r="BS194" s="650"/>
      <c r="BT194" s="650"/>
      <c r="BU194" s="650"/>
      <c r="BV194" s="650"/>
      <c r="BW194" s="650"/>
      <c r="BX194" s="650"/>
      <c r="BY194" s="650"/>
      <c r="BZ194" s="650"/>
      <c r="CA194" s="650"/>
      <c r="CB194" s="650"/>
      <c r="CC194" s="650"/>
      <c r="CD194" s="650"/>
      <c r="CE194" s="650"/>
      <c r="CF194" s="650"/>
      <c r="CG194" s="650"/>
      <c r="CH194" s="650"/>
      <c r="CI194" s="650"/>
      <c r="CJ194" s="650"/>
      <c r="CK194" s="650"/>
      <c r="CL194" s="650"/>
      <c r="CM194" s="650"/>
      <c r="CN194" s="650"/>
    </row>
    <row r="195" spans="1:92" s="649" customFormat="1" ht="51.75" customHeight="1" x14ac:dyDescent="0.25">
      <c r="A195" s="842" t="s">
        <v>644</v>
      </c>
      <c r="B195" s="844" t="s">
        <v>645</v>
      </c>
      <c r="C195" s="868"/>
      <c r="D195" s="892"/>
      <c r="E195" s="869"/>
      <c r="F195" s="870"/>
      <c r="G195" s="872">
        <f>G198+G201+G204+G207</f>
        <v>140</v>
      </c>
      <c r="H195" s="871">
        <f>H198+H201+H204+H207</f>
        <v>50064000</v>
      </c>
      <c r="I195" s="882"/>
      <c r="J195" s="909">
        <f>H195</f>
        <v>50064000</v>
      </c>
      <c r="K195" s="881"/>
      <c r="L195" s="792"/>
      <c r="M195" s="650"/>
      <c r="N195" s="650"/>
      <c r="O195" s="650"/>
      <c r="P195" s="650"/>
      <c r="Q195" s="650"/>
      <c r="R195" s="650"/>
      <c r="S195" s="650"/>
      <c r="T195" s="650"/>
      <c r="U195" s="650"/>
      <c r="V195" s="650"/>
      <c r="W195" s="650"/>
      <c r="X195" s="650"/>
      <c r="Y195" s="650"/>
      <c r="Z195" s="650"/>
      <c r="AA195" s="650"/>
      <c r="AB195" s="650"/>
      <c r="AC195" s="650"/>
      <c r="AD195" s="650"/>
      <c r="AE195" s="650"/>
      <c r="AF195" s="650"/>
      <c r="AG195" s="650"/>
      <c r="AH195" s="650"/>
      <c r="AI195" s="650"/>
      <c r="AJ195" s="650"/>
      <c r="AK195" s="650"/>
      <c r="AL195" s="650"/>
      <c r="AM195" s="650"/>
      <c r="AN195" s="650"/>
      <c r="AO195" s="650"/>
      <c r="AP195" s="650"/>
      <c r="AQ195" s="650"/>
      <c r="AR195" s="650"/>
      <c r="AS195" s="650"/>
      <c r="AT195" s="650"/>
      <c r="AU195" s="650"/>
      <c r="AV195" s="650"/>
      <c r="AW195" s="650"/>
      <c r="AX195" s="650"/>
      <c r="AY195" s="650"/>
      <c r="AZ195" s="650"/>
      <c r="BA195" s="650"/>
      <c r="BB195" s="650"/>
      <c r="BC195" s="650"/>
      <c r="BD195" s="650"/>
      <c r="BE195" s="650"/>
      <c r="BF195" s="650"/>
      <c r="BG195" s="650"/>
      <c r="BH195" s="650"/>
      <c r="BI195" s="650"/>
      <c r="BJ195" s="650"/>
      <c r="BK195" s="650"/>
      <c r="BL195" s="650"/>
      <c r="BM195" s="650"/>
      <c r="BN195" s="650"/>
      <c r="BO195" s="650"/>
      <c r="BP195" s="650"/>
      <c r="BQ195" s="650"/>
      <c r="BR195" s="650"/>
      <c r="BS195" s="650"/>
      <c r="BT195" s="650"/>
      <c r="BU195" s="650"/>
      <c r="BV195" s="650"/>
      <c r="BW195" s="650"/>
      <c r="BX195" s="650"/>
      <c r="BY195" s="650"/>
      <c r="BZ195" s="650"/>
      <c r="CA195" s="650"/>
      <c r="CB195" s="650"/>
      <c r="CC195" s="650"/>
      <c r="CD195" s="650"/>
      <c r="CE195" s="650"/>
      <c r="CF195" s="650"/>
      <c r="CG195" s="650"/>
      <c r="CH195" s="650"/>
      <c r="CI195" s="650"/>
      <c r="CJ195" s="650"/>
      <c r="CK195" s="650"/>
      <c r="CL195" s="650"/>
      <c r="CM195" s="650"/>
      <c r="CN195" s="650"/>
    </row>
    <row r="196" spans="1:92" s="649" customFormat="1" ht="38.25" customHeight="1" x14ac:dyDescent="0.25">
      <c r="A196" s="1064" t="s">
        <v>604</v>
      </c>
      <c r="B196" s="1116" t="s">
        <v>646</v>
      </c>
      <c r="C196" s="853" t="s">
        <v>493</v>
      </c>
      <c r="D196" s="864">
        <v>1</v>
      </c>
      <c r="E196" s="798">
        <v>0.27</v>
      </c>
      <c r="F196" s="866">
        <v>1490000</v>
      </c>
      <c r="G196" s="662">
        <v>20</v>
      </c>
      <c r="H196" s="662">
        <f t="shared" ref="H196:H197" si="25">D196*E196*F196*G196</f>
        <v>8046000</v>
      </c>
      <c r="I196" s="882"/>
      <c r="J196" s="909"/>
      <c r="K196" s="881"/>
      <c r="L196" s="741"/>
      <c r="M196" s="650"/>
      <c r="N196" s="650"/>
      <c r="O196" s="650"/>
      <c r="P196" s="650"/>
      <c r="Q196" s="650"/>
      <c r="R196" s="650"/>
      <c r="S196" s="650"/>
      <c r="T196" s="650"/>
      <c r="U196" s="650"/>
      <c r="V196" s="650"/>
      <c r="W196" s="650"/>
      <c r="X196" s="650"/>
      <c r="Y196" s="650"/>
      <c r="Z196" s="650"/>
      <c r="AA196" s="650"/>
      <c r="AB196" s="650"/>
      <c r="AC196" s="650"/>
      <c r="AD196" s="650"/>
      <c r="AE196" s="650"/>
      <c r="AF196" s="650"/>
      <c r="AG196" s="650"/>
      <c r="AH196" s="650"/>
      <c r="AI196" s="650"/>
      <c r="AJ196" s="650"/>
      <c r="AK196" s="650"/>
      <c r="AL196" s="650"/>
      <c r="AM196" s="650"/>
      <c r="AN196" s="650"/>
      <c r="AO196" s="650"/>
      <c r="AP196" s="650"/>
      <c r="AQ196" s="650"/>
      <c r="AR196" s="650"/>
      <c r="AS196" s="650"/>
      <c r="AT196" s="650"/>
      <c r="AU196" s="650"/>
      <c r="AV196" s="650"/>
      <c r="AW196" s="650"/>
      <c r="AX196" s="650"/>
      <c r="AY196" s="650"/>
      <c r="AZ196" s="650"/>
      <c r="BA196" s="650"/>
      <c r="BB196" s="650"/>
      <c r="BC196" s="650"/>
      <c r="BD196" s="650"/>
      <c r="BE196" s="650"/>
      <c r="BF196" s="650"/>
      <c r="BG196" s="650"/>
      <c r="BH196" s="650"/>
      <c r="BI196" s="650"/>
      <c r="BJ196" s="650"/>
      <c r="BK196" s="650"/>
      <c r="BL196" s="650"/>
      <c r="BM196" s="650"/>
      <c r="BN196" s="650"/>
      <c r="BO196" s="650"/>
      <c r="BP196" s="650"/>
      <c r="BQ196" s="650"/>
      <c r="BR196" s="650"/>
      <c r="BS196" s="650"/>
      <c r="BT196" s="650"/>
      <c r="BU196" s="650"/>
      <c r="BV196" s="650"/>
      <c r="BW196" s="650"/>
      <c r="BX196" s="650"/>
      <c r="BY196" s="650"/>
      <c r="BZ196" s="650"/>
      <c r="CA196" s="650"/>
      <c r="CB196" s="650"/>
      <c r="CC196" s="650"/>
      <c r="CD196" s="650"/>
      <c r="CE196" s="650"/>
      <c r="CF196" s="650"/>
      <c r="CG196" s="650"/>
      <c r="CH196" s="650"/>
      <c r="CI196" s="650"/>
      <c r="CJ196" s="650"/>
      <c r="CK196" s="650"/>
      <c r="CL196" s="650"/>
      <c r="CM196" s="650"/>
      <c r="CN196" s="650"/>
    </row>
    <row r="197" spans="1:92" s="649" customFormat="1" ht="38.25" customHeight="1" x14ac:dyDescent="0.25">
      <c r="A197" s="1065"/>
      <c r="B197" s="1117"/>
      <c r="C197" s="853" t="s">
        <v>494</v>
      </c>
      <c r="D197" s="864">
        <v>1</v>
      </c>
      <c r="E197" s="798">
        <v>0.2</v>
      </c>
      <c r="F197" s="866">
        <v>1490000</v>
      </c>
      <c r="G197" s="662">
        <v>15</v>
      </c>
      <c r="H197" s="662">
        <f t="shared" si="25"/>
        <v>4470000</v>
      </c>
      <c r="I197" s="882"/>
      <c r="J197" s="909"/>
      <c r="K197" s="881"/>
      <c r="L197" s="741"/>
      <c r="M197" s="650"/>
      <c r="N197" s="650"/>
      <c r="O197" s="650"/>
      <c r="P197" s="650"/>
      <c r="Q197" s="650"/>
      <c r="R197" s="650"/>
      <c r="S197" s="650"/>
      <c r="T197" s="650"/>
      <c r="U197" s="650"/>
      <c r="V197" s="650"/>
      <c r="W197" s="650"/>
      <c r="X197" s="650"/>
      <c r="Y197" s="650"/>
      <c r="Z197" s="650"/>
      <c r="AA197" s="650"/>
      <c r="AB197" s="650"/>
      <c r="AC197" s="650"/>
      <c r="AD197" s="650"/>
      <c r="AE197" s="650"/>
      <c r="AF197" s="650"/>
      <c r="AG197" s="650"/>
      <c r="AH197" s="650"/>
      <c r="AI197" s="650"/>
      <c r="AJ197" s="650"/>
      <c r="AK197" s="650"/>
      <c r="AL197" s="650"/>
      <c r="AM197" s="650"/>
      <c r="AN197" s="650"/>
      <c r="AO197" s="650"/>
      <c r="AP197" s="650"/>
      <c r="AQ197" s="650"/>
      <c r="AR197" s="650"/>
      <c r="AS197" s="650"/>
      <c r="AT197" s="650"/>
      <c r="AU197" s="650"/>
      <c r="AV197" s="650"/>
      <c r="AW197" s="650"/>
      <c r="AX197" s="650"/>
      <c r="AY197" s="650"/>
      <c r="AZ197" s="650"/>
      <c r="BA197" s="650"/>
      <c r="BB197" s="650"/>
      <c r="BC197" s="650"/>
      <c r="BD197" s="650"/>
      <c r="BE197" s="650"/>
      <c r="BF197" s="650"/>
      <c r="BG197" s="650"/>
      <c r="BH197" s="650"/>
      <c r="BI197" s="650"/>
      <c r="BJ197" s="650"/>
      <c r="BK197" s="650"/>
      <c r="BL197" s="650"/>
      <c r="BM197" s="650"/>
      <c r="BN197" s="650"/>
      <c r="BO197" s="650"/>
      <c r="BP197" s="650"/>
      <c r="BQ197" s="650"/>
      <c r="BR197" s="650"/>
      <c r="BS197" s="650"/>
      <c r="BT197" s="650"/>
      <c r="BU197" s="650"/>
      <c r="BV197" s="650"/>
      <c r="BW197" s="650"/>
      <c r="BX197" s="650"/>
      <c r="BY197" s="650"/>
      <c r="BZ197" s="650"/>
      <c r="CA197" s="650"/>
      <c r="CB197" s="650"/>
      <c r="CC197" s="650"/>
      <c r="CD197" s="650"/>
      <c r="CE197" s="650"/>
      <c r="CF197" s="650"/>
      <c r="CG197" s="650"/>
      <c r="CH197" s="650"/>
      <c r="CI197" s="650"/>
      <c r="CJ197" s="650"/>
      <c r="CK197" s="650"/>
      <c r="CL197" s="650"/>
      <c r="CM197" s="650"/>
      <c r="CN197" s="650"/>
    </row>
    <row r="198" spans="1:92" s="649" customFormat="1" ht="38.25" customHeight="1" x14ac:dyDescent="0.25">
      <c r="A198" s="1066"/>
      <c r="B198" s="1118"/>
      <c r="C198" s="648" t="s">
        <v>449</v>
      </c>
      <c r="D198" s="719"/>
      <c r="E198" s="666"/>
      <c r="F198" s="739"/>
      <c r="G198" s="667">
        <f>(D196*G196)+(D197*G197)</f>
        <v>35</v>
      </c>
      <c r="H198" s="667">
        <f>SUM(H196:H197)</f>
        <v>12516000</v>
      </c>
      <c r="I198" s="882"/>
      <c r="J198" s="909">
        <f>H198</f>
        <v>12516000</v>
      </c>
      <c r="K198" s="881"/>
      <c r="L198" s="792"/>
      <c r="M198" s="650"/>
      <c r="N198" s="650"/>
      <c r="O198" s="650"/>
      <c r="P198" s="650"/>
      <c r="Q198" s="650"/>
      <c r="R198" s="650"/>
      <c r="S198" s="650"/>
      <c r="T198" s="650"/>
      <c r="U198" s="650"/>
      <c r="V198" s="650"/>
      <c r="W198" s="650"/>
      <c r="X198" s="650"/>
      <c r="Y198" s="650"/>
      <c r="Z198" s="650"/>
      <c r="AA198" s="650"/>
      <c r="AB198" s="650"/>
      <c r="AC198" s="650"/>
      <c r="AD198" s="650"/>
      <c r="AE198" s="650"/>
      <c r="AF198" s="650"/>
      <c r="AG198" s="650"/>
      <c r="AH198" s="650"/>
      <c r="AI198" s="650"/>
      <c r="AJ198" s="650"/>
      <c r="AK198" s="650"/>
      <c r="AL198" s="650"/>
      <c r="AM198" s="650"/>
      <c r="AN198" s="650"/>
      <c r="AO198" s="650"/>
      <c r="AP198" s="650"/>
      <c r="AQ198" s="650"/>
      <c r="AR198" s="650"/>
      <c r="AS198" s="650"/>
      <c r="AT198" s="650"/>
      <c r="AU198" s="650"/>
      <c r="AV198" s="650"/>
      <c r="AW198" s="650"/>
      <c r="AX198" s="650"/>
      <c r="AY198" s="650"/>
      <c r="AZ198" s="650"/>
      <c r="BA198" s="650"/>
      <c r="BB198" s="650"/>
      <c r="BC198" s="650"/>
      <c r="BD198" s="650"/>
      <c r="BE198" s="650"/>
      <c r="BF198" s="650"/>
      <c r="BG198" s="650"/>
      <c r="BH198" s="650"/>
      <c r="BI198" s="650"/>
      <c r="BJ198" s="650"/>
      <c r="BK198" s="650"/>
      <c r="BL198" s="650"/>
      <c r="BM198" s="650"/>
      <c r="BN198" s="650"/>
      <c r="BO198" s="650"/>
      <c r="BP198" s="650"/>
      <c r="BQ198" s="650"/>
      <c r="BR198" s="650"/>
      <c r="BS198" s="650"/>
      <c r="BT198" s="650"/>
      <c r="BU198" s="650"/>
      <c r="BV198" s="650"/>
      <c r="BW198" s="650"/>
      <c r="BX198" s="650"/>
      <c r="BY198" s="650"/>
      <c r="BZ198" s="650"/>
      <c r="CA198" s="650"/>
      <c r="CB198" s="650"/>
      <c r="CC198" s="650"/>
      <c r="CD198" s="650"/>
      <c r="CE198" s="650"/>
      <c r="CF198" s="650"/>
      <c r="CG198" s="650"/>
      <c r="CH198" s="650"/>
      <c r="CI198" s="650"/>
      <c r="CJ198" s="650"/>
      <c r="CK198" s="650"/>
      <c r="CL198" s="650"/>
      <c r="CM198" s="650"/>
      <c r="CN198" s="650"/>
    </row>
    <row r="199" spans="1:92" s="649" customFormat="1" ht="41.25" customHeight="1" x14ac:dyDescent="0.25">
      <c r="A199" s="1064" t="s">
        <v>604</v>
      </c>
      <c r="B199" s="1116" t="s">
        <v>647</v>
      </c>
      <c r="C199" s="853" t="s">
        <v>493</v>
      </c>
      <c r="D199" s="864">
        <v>1</v>
      </c>
      <c r="E199" s="798">
        <v>0.27</v>
      </c>
      <c r="F199" s="866">
        <v>1490000</v>
      </c>
      <c r="G199" s="662">
        <v>20</v>
      </c>
      <c r="H199" s="662">
        <f t="shared" ref="H199:H200" si="26">D199*E199*F199*G199</f>
        <v>8046000</v>
      </c>
      <c r="I199" s="882"/>
      <c r="J199" s="909"/>
      <c r="K199" s="881"/>
      <c r="L199" s="741"/>
      <c r="M199" s="650"/>
      <c r="N199" s="650"/>
      <c r="O199" s="650"/>
      <c r="P199" s="650"/>
      <c r="Q199" s="650"/>
      <c r="R199" s="650"/>
      <c r="S199" s="650"/>
      <c r="T199" s="650"/>
      <c r="U199" s="650"/>
      <c r="V199" s="650"/>
      <c r="W199" s="650"/>
      <c r="X199" s="650"/>
      <c r="Y199" s="650"/>
      <c r="Z199" s="650"/>
      <c r="AA199" s="650"/>
      <c r="AB199" s="650"/>
      <c r="AC199" s="650"/>
      <c r="AD199" s="650"/>
      <c r="AE199" s="650"/>
      <c r="AF199" s="650"/>
      <c r="AG199" s="650"/>
      <c r="AH199" s="650"/>
      <c r="AI199" s="650"/>
      <c r="AJ199" s="650"/>
      <c r="AK199" s="650"/>
      <c r="AL199" s="650"/>
      <c r="AM199" s="650"/>
      <c r="AN199" s="650"/>
      <c r="AO199" s="650"/>
      <c r="AP199" s="650"/>
      <c r="AQ199" s="650"/>
      <c r="AR199" s="650"/>
      <c r="AS199" s="650"/>
      <c r="AT199" s="650"/>
      <c r="AU199" s="650"/>
      <c r="AV199" s="650"/>
      <c r="AW199" s="650"/>
      <c r="AX199" s="650"/>
      <c r="AY199" s="650"/>
      <c r="AZ199" s="650"/>
      <c r="BA199" s="650"/>
      <c r="BB199" s="650"/>
      <c r="BC199" s="650"/>
      <c r="BD199" s="650"/>
      <c r="BE199" s="650"/>
      <c r="BF199" s="650"/>
      <c r="BG199" s="650"/>
      <c r="BH199" s="650"/>
      <c r="BI199" s="650"/>
      <c r="BJ199" s="650"/>
      <c r="BK199" s="650"/>
      <c r="BL199" s="650"/>
      <c r="BM199" s="650"/>
      <c r="BN199" s="650"/>
      <c r="BO199" s="650"/>
      <c r="BP199" s="650"/>
      <c r="BQ199" s="650"/>
      <c r="BR199" s="650"/>
      <c r="BS199" s="650"/>
      <c r="BT199" s="650"/>
      <c r="BU199" s="650"/>
      <c r="BV199" s="650"/>
      <c r="BW199" s="650"/>
      <c r="BX199" s="650"/>
      <c r="BY199" s="650"/>
      <c r="BZ199" s="650"/>
      <c r="CA199" s="650"/>
      <c r="CB199" s="650"/>
      <c r="CC199" s="650"/>
      <c r="CD199" s="650"/>
      <c r="CE199" s="650"/>
      <c r="CF199" s="650"/>
      <c r="CG199" s="650"/>
      <c r="CH199" s="650"/>
      <c r="CI199" s="650"/>
      <c r="CJ199" s="650"/>
      <c r="CK199" s="650"/>
      <c r="CL199" s="650"/>
      <c r="CM199" s="650"/>
      <c r="CN199" s="650"/>
    </row>
    <row r="200" spans="1:92" s="649" customFormat="1" ht="41.25" customHeight="1" x14ac:dyDescent="0.25">
      <c r="A200" s="1065"/>
      <c r="B200" s="1117"/>
      <c r="C200" s="853" t="s">
        <v>494</v>
      </c>
      <c r="D200" s="864">
        <v>1</v>
      </c>
      <c r="E200" s="798">
        <v>0.2</v>
      </c>
      <c r="F200" s="866">
        <v>1490000</v>
      </c>
      <c r="G200" s="662">
        <v>15</v>
      </c>
      <c r="H200" s="662">
        <f t="shared" si="26"/>
        <v>4470000</v>
      </c>
      <c r="I200" s="882"/>
      <c r="J200" s="909"/>
      <c r="K200" s="881"/>
      <c r="L200" s="741"/>
      <c r="M200" s="650"/>
      <c r="N200" s="650"/>
      <c r="O200" s="650"/>
      <c r="P200" s="650"/>
      <c r="Q200" s="650"/>
      <c r="R200" s="650"/>
      <c r="S200" s="650"/>
      <c r="T200" s="650"/>
      <c r="U200" s="650"/>
      <c r="V200" s="650"/>
      <c r="W200" s="650"/>
      <c r="X200" s="650"/>
      <c r="Y200" s="650"/>
      <c r="Z200" s="650"/>
      <c r="AA200" s="650"/>
      <c r="AB200" s="650"/>
      <c r="AC200" s="650"/>
      <c r="AD200" s="650"/>
      <c r="AE200" s="650"/>
      <c r="AF200" s="650"/>
      <c r="AG200" s="650"/>
      <c r="AH200" s="650"/>
      <c r="AI200" s="650"/>
      <c r="AJ200" s="650"/>
      <c r="AK200" s="650"/>
      <c r="AL200" s="650"/>
      <c r="AM200" s="650"/>
      <c r="AN200" s="650"/>
      <c r="AO200" s="650"/>
      <c r="AP200" s="650"/>
      <c r="AQ200" s="650"/>
      <c r="AR200" s="650"/>
      <c r="AS200" s="650"/>
      <c r="AT200" s="650"/>
      <c r="AU200" s="650"/>
      <c r="AV200" s="650"/>
      <c r="AW200" s="650"/>
      <c r="AX200" s="650"/>
      <c r="AY200" s="650"/>
      <c r="AZ200" s="650"/>
      <c r="BA200" s="650"/>
      <c r="BB200" s="650"/>
      <c r="BC200" s="650"/>
      <c r="BD200" s="650"/>
      <c r="BE200" s="650"/>
      <c r="BF200" s="650"/>
      <c r="BG200" s="650"/>
      <c r="BH200" s="650"/>
      <c r="BI200" s="650"/>
      <c r="BJ200" s="650"/>
      <c r="BK200" s="650"/>
      <c r="BL200" s="650"/>
      <c r="BM200" s="650"/>
      <c r="BN200" s="650"/>
      <c r="BO200" s="650"/>
      <c r="BP200" s="650"/>
      <c r="BQ200" s="650"/>
      <c r="BR200" s="650"/>
      <c r="BS200" s="650"/>
      <c r="BT200" s="650"/>
      <c r="BU200" s="650"/>
      <c r="BV200" s="650"/>
      <c r="BW200" s="650"/>
      <c r="BX200" s="650"/>
      <c r="BY200" s="650"/>
      <c r="BZ200" s="650"/>
      <c r="CA200" s="650"/>
      <c r="CB200" s="650"/>
      <c r="CC200" s="650"/>
      <c r="CD200" s="650"/>
      <c r="CE200" s="650"/>
      <c r="CF200" s="650"/>
      <c r="CG200" s="650"/>
      <c r="CH200" s="650"/>
      <c r="CI200" s="650"/>
      <c r="CJ200" s="650"/>
      <c r="CK200" s="650"/>
      <c r="CL200" s="650"/>
      <c r="CM200" s="650"/>
      <c r="CN200" s="650"/>
    </row>
    <row r="201" spans="1:92" s="649" customFormat="1" ht="40.5" customHeight="1" x14ac:dyDescent="0.25">
      <c r="A201" s="1066"/>
      <c r="B201" s="1118"/>
      <c r="C201" s="648" t="s">
        <v>449</v>
      </c>
      <c r="D201" s="719"/>
      <c r="E201" s="666"/>
      <c r="F201" s="739"/>
      <c r="G201" s="667">
        <f>(D199*G199)+(D200*G200)</f>
        <v>35</v>
      </c>
      <c r="H201" s="667">
        <f>SUM(H199:H200)</f>
        <v>12516000</v>
      </c>
      <c r="I201" s="882"/>
      <c r="J201" s="909">
        <f>H201</f>
        <v>12516000</v>
      </c>
      <c r="K201" s="881"/>
      <c r="L201" s="792"/>
      <c r="M201" s="650"/>
      <c r="N201" s="650"/>
      <c r="O201" s="650"/>
      <c r="P201" s="650"/>
      <c r="Q201" s="650"/>
      <c r="R201" s="650"/>
      <c r="S201" s="650"/>
      <c r="T201" s="650"/>
      <c r="U201" s="650"/>
      <c r="V201" s="650"/>
      <c r="W201" s="650"/>
      <c r="X201" s="650"/>
      <c r="Y201" s="650"/>
      <c r="Z201" s="650"/>
      <c r="AA201" s="650"/>
      <c r="AB201" s="650"/>
      <c r="AC201" s="650"/>
      <c r="AD201" s="650"/>
      <c r="AE201" s="650"/>
      <c r="AF201" s="650"/>
      <c r="AG201" s="650"/>
      <c r="AH201" s="650"/>
      <c r="AI201" s="650"/>
      <c r="AJ201" s="650"/>
      <c r="AK201" s="650"/>
      <c r="AL201" s="650"/>
      <c r="AM201" s="650"/>
      <c r="AN201" s="650"/>
      <c r="AO201" s="650"/>
      <c r="AP201" s="650"/>
      <c r="AQ201" s="650"/>
      <c r="AR201" s="650"/>
      <c r="AS201" s="650"/>
      <c r="AT201" s="650"/>
      <c r="AU201" s="650"/>
      <c r="AV201" s="650"/>
      <c r="AW201" s="650"/>
      <c r="AX201" s="650"/>
      <c r="AY201" s="650"/>
      <c r="AZ201" s="650"/>
      <c r="BA201" s="650"/>
      <c r="BB201" s="650"/>
      <c r="BC201" s="650"/>
      <c r="BD201" s="650"/>
      <c r="BE201" s="650"/>
      <c r="BF201" s="650"/>
      <c r="BG201" s="650"/>
      <c r="BH201" s="650"/>
      <c r="BI201" s="650"/>
      <c r="BJ201" s="650"/>
      <c r="BK201" s="650"/>
      <c r="BL201" s="650"/>
      <c r="BM201" s="650"/>
      <c r="BN201" s="650"/>
      <c r="BO201" s="650"/>
      <c r="BP201" s="650"/>
      <c r="BQ201" s="650"/>
      <c r="BR201" s="650"/>
      <c r="BS201" s="650"/>
      <c r="BT201" s="650"/>
      <c r="BU201" s="650"/>
      <c r="BV201" s="650"/>
      <c r="BW201" s="650"/>
      <c r="BX201" s="650"/>
      <c r="BY201" s="650"/>
      <c r="BZ201" s="650"/>
      <c r="CA201" s="650"/>
      <c r="CB201" s="650"/>
      <c r="CC201" s="650"/>
      <c r="CD201" s="650"/>
      <c r="CE201" s="650"/>
      <c r="CF201" s="650"/>
      <c r="CG201" s="650"/>
      <c r="CH201" s="650"/>
      <c r="CI201" s="650"/>
      <c r="CJ201" s="650"/>
      <c r="CK201" s="650"/>
      <c r="CL201" s="650"/>
      <c r="CM201" s="650"/>
      <c r="CN201" s="650"/>
    </row>
    <row r="202" spans="1:92" s="649" customFormat="1" ht="47.25" customHeight="1" x14ac:dyDescent="0.25">
      <c r="A202" s="1064" t="s">
        <v>604</v>
      </c>
      <c r="B202" s="1116" t="s">
        <v>648</v>
      </c>
      <c r="C202" s="853" t="s">
        <v>493</v>
      </c>
      <c r="D202" s="864">
        <v>1</v>
      </c>
      <c r="E202" s="798">
        <v>0.27</v>
      </c>
      <c r="F202" s="866">
        <v>1490000</v>
      </c>
      <c r="G202" s="662">
        <v>20</v>
      </c>
      <c r="H202" s="662">
        <f t="shared" ref="H202:H203" si="27">D202*E202*F202*G202</f>
        <v>8046000</v>
      </c>
      <c r="I202" s="882"/>
      <c r="J202" s="909"/>
      <c r="K202" s="881"/>
      <c r="L202" s="741"/>
      <c r="M202" s="650"/>
      <c r="N202" s="650"/>
      <c r="O202" s="650"/>
      <c r="P202" s="650"/>
      <c r="Q202" s="650"/>
      <c r="R202" s="650"/>
      <c r="S202" s="650"/>
      <c r="T202" s="650"/>
      <c r="U202" s="650"/>
      <c r="V202" s="650"/>
      <c r="W202" s="650"/>
      <c r="X202" s="650"/>
      <c r="Y202" s="650"/>
      <c r="Z202" s="650"/>
      <c r="AA202" s="650"/>
      <c r="AB202" s="650"/>
      <c r="AC202" s="650"/>
      <c r="AD202" s="650"/>
      <c r="AE202" s="650"/>
      <c r="AF202" s="650"/>
      <c r="AG202" s="650"/>
      <c r="AH202" s="650"/>
      <c r="AI202" s="650"/>
      <c r="AJ202" s="650"/>
      <c r="AK202" s="650"/>
      <c r="AL202" s="650"/>
      <c r="AM202" s="650"/>
      <c r="AN202" s="650"/>
      <c r="AO202" s="650"/>
      <c r="AP202" s="650"/>
      <c r="AQ202" s="650"/>
      <c r="AR202" s="650"/>
      <c r="AS202" s="650"/>
      <c r="AT202" s="650"/>
      <c r="AU202" s="650"/>
      <c r="AV202" s="650"/>
      <c r="AW202" s="650"/>
      <c r="AX202" s="650"/>
      <c r="AY202" s="650"/>
      <c r="AZ202" s="650"/>
      <c r="BA202" s="650"/>
      <c r="BB202" s="650"/>
      <c r="BC202" s="650"/>
      <c r="BD202" s="650"/>
      <c r="BE202" s="650"/>
      <c r="BF202" s="650"/>
      <c r="BG202" s="650"/>
      <c r="BH202" s="650"/>
      <c r="BI202" s="650"/>
      <c r="BJ202" s="650"/>
      <c r="BK202" s="650"/>
      <c r="BL202" s="650"/>
      <c r="BM202" s="650"/>
      <c r="BN202" s="650"/>
      <c r="BO202" s="650"/>
      <c r="BP202" s="650"/>
      <c r="BQ202" s="650"/>
      <c r="BR202" s="650"/>
      <c r="BS202" s="650"/>
      <c r="BT202" s="650"/>
      <c r="BU202" s="650"/>
      <c r="BV202" s="650"/>
      <c r="BW202" s="650"/>
      <c r="BX202" s="650"/>
      <c r="BY202" s="650"/>
      <c r="BZ202" s="650"/>
      <c r="CA202" s="650"/>
      <c r="CB202" s="650"/>
      <c r="CC202" s="650"/>
      <c r="CD202" s="650"/>
      <c r="CE202" s="650"/>
      <c r="CF202" s="650"/>
      <c r="CG202" s="650"/>
      <c r="CH202" s="650"/>
      <c r="CI202" s="650"/>
      <c r="CJ202" s="650"/>
      <c r="CK202" s="650"/>
      <c r="CL202" s="650"/>
      <c r="CM202" s="650"/>
      <c r="CN202" s="650"/>
    </row>
    <row r="203" spans="1:92" s="649" customFormat="1" ht="38.25" customHeight="1" x14ac:dyDescent="0.25">
      <c r="A203" s="1065"/>
      <c r="B203" s="1117"/>
      <c r="C203" s="853" t="s">
        <v>494</v>
      </c>
      <c r="D203" s="864">
        <v>1</v>
      </c>
      <c r="E203" s="798">
        <v>0.2</v>
      </c>
      <c r="F203" s="866">
        <v>1490000</v>
      </c>
      <c r="G203" s="662">
        <v>15</v>
      </c>
      <c r="H203" s="662">
        <f t="shared" si="27"/>
        <v>4470000</v>
      </c>
      <c r="I203" s="882"/>
      <c r="J203" s="909"/>
      <c r="K203" s="881"/>
      <c r="L203" s="741"/>
      <c r="M203" s="650"/>
      <c r="N203" s="650"/>
      <c r="O203" s="650"/>
      <c r="P203" s="650"/>
      <c r="Q203" s="650"/>
      <c r="R203" s="650"/>
      <c r="S203" s="650"/>
      <c r="T203" s="650"/>
      <c r="U203" s="650"/>
      <c r="V203" s="650"/>
      <c r="W203" s="650"/>
      <c r="X203" s="650"/>
      <c r="Y203" s="650"/>
      <c r="Z203" s="650"/>
      <c r="AA203" s="650"/>
      <c r="AB203" s="650"/>
      <c r="AC203" s="650"/>
      <c r="AD203" s="650"/>
      <c r="AE203" s="650"/>
      <c r="AF203" s="650"/>
      <c r="AG203" s="650"/>
      <c r="AH203" s="650"/>
      <c r="AI203" s="650"/>
      <c r="AJ203" s="650"/>
      <c r="AK203" s="650"/>
      <c r="AL203" s="650"/>
      <c r="AM203" s="650"/>
      <c r="AN203" s="650"/>
      <c r="AO203" s="650"/>
      <c r="AP203" s="650"/>
      <c r="AQ203" s="650"/>
      <c r="AR203" s="650"/>
      <c r="AS203" s="650"/>
      <c r="AT203" s="650"/>
      <c r="AU203" s="650"/>
      <c r="AV203" s="650"/>
      <c r="AW203" s="650"/>
      <c r="AX203" s="650"/>
      <c r="AY203" s="650"/>
      <c r="AZ203" s="650"/>
      <c r="BA203" s="650"/>
      <c r="BB203" s="650"/>
      <c r="BC203" s="650"/>
      <c r="BD203" s="650"/>
      <c r="BE203" s="650"/>
      <c r="BF203" s="650"/>
      <c r="BG203" s="650"/>
      <c r="BH203" s="650"/>
      <c r="BI203" s="650"/>
      <c r="BJ203" s="650"/>
      <c r="BK203" s="650"/>
      <c r="BL203" s="650"/>
      <c r="BM203" s="650"/>
      <c r="BN203" s="650"/>
      <c r="BO203" s="650"/>
      <c r="BP203" s="650"/>
      <c r="BQ203" s="650"/>
      <c r="BR203" s="650"/>
      <c r="BS203" s="650"/>
      <c r="BT203" s="650"/>
      <c r="BU203" s="650"/>
      <c r="BV203" s="650"/>
      <c r="BW203" s="650"/>
      <c r="BX203" s="650"/>
      <c r="BY203" s="650"/>
      <c r="BZ203" s="650"/>
      <c r="CA203" s="650"/>
      <c r="CB203" s="650"/>
      <c r="CC203" s="650"/>
      <c r="CD203" s="650"/>
      <c r="CE203" s="650"/>
      <c r="CF203" s="650"/>
      <c r="CG203" s="650"/>
      <c r="CH203" s="650"/>
      <c r="CI203" s="650"/>
      <c r="CJ203" s="650"/>
      <c r="CK203" s="650"/>
      <c r="CL203" s="650"/>
      <c r="CM203" s="650"/>
      <c r="CN203" s="650"/>
    </row>
    <row r="204" spans="1:92" s="649" customFormat="1" ht="45.75" customHeight="1" x14ac:dyDescent="0.25">
      <c r="A204" s="1066"/>
      <c r="B204" s="1118"/>
      <c r="C204" s="648" t="s">
        <v>449</v>
      </c>
      <c r="D204" s="719"/>
      <c r="E204" s="666"/>
      <c r="F204" s="739"/>
      <c r="G204" s="667">
        <f>(D202*G202)+(D203*G203)</f>
        <v>35</v>
      </c>
      <c r="H204" s="667">
        <f>SUM(H202:H203)</f>
        <v>12516000</v>
      </c>
      <c r="I204" s="882"/>
      <c r="J204" s="909">
        <f>H204</f>
        <v>12516000</v>
      </c>
      <c r="K204" s="881"/>
      <c r="L204" s="792"/>
      <c r="M204" s="650"/>
      <c r="N204" s="650"/>
      <c r="O204" s="650"/>
      <c r="P204" s="650"/>
      <c r="Q204" s="650"/>
      <c r="R204" s="650"/>
      <c r="S204" s="650"/>
      <c r="T204" s="650"/>
      <c r="U204" s="650"/>
      <c r="V204" s="650"/>
      <c r="W204" s="650"/>
      <c r="X204" s="650"/>
      <c r="Y204" s="650"/>
      <c r="Z204" s="650"/>
      <c r="AA204" s="650"/>
      <c r="AB204" s="650"/>
      <c r="AC204" s="650"/>
      <c r="AD204" s="650"/>
      <c r="AE204" s="650"/>
      <c r="AF204" s="650"/>
      <c r="AG204" s="650"/>
      <c r="AH204" s="650"/>
      <c r="AI204" s="650"/>
      <c r="AJ204" s="650"/>
      <c r="AK204" s="650"/>
      <c r="AL204" s="650"/>
      <c r="AM204" s="650"/>
      <c r="AN204" s="650"/>
      <c r="AO204" s="650"/>
      <c r="AP204" s="650"/>
      <c r="AQ204" s="650"/>
      <c r="AR204" s="650"/>
      <c r="AS204" s="650"/>
      <c r="AT204" s="650"/>
      <c r="AU204" s="650"/>
      <c r="AV204" s="650"/>
      <c r="AW204" s="650"/>
      <c r="AX204" s="650"/>
      <c r="AY204" s="650"/>
      <c r="AZ204" s="650"/>
      <c r="BA204" s="650"/>
      <c r="BB204" s="650"/>
      <c r="BC204" s="650"/>
      <c r="BD204" s="650"/>
      <c r="BE204" s="650"/>
      <c r="BF204" s="650"/>
      <c r="BG204" s="650"/>
      <c r="BH204" s="650"/>
      <c r="BI204" s="650"/>
      <c r="BJ204" s="650"/>
      <c r="BK204" s="650"/>
      <c r="BL204" s="650"/>
      <c r="BM204" s="650"/>
      <c r="BN204" s="650"/>
      <c r="BO204" s="650"/>
      <c r="BP204" s="650"/>
      <c r="BQ204" s="650"/>
      <c r="BR204" s="650"/>
      <c r="BS204" s="650"/>
      <c r="BT204" s="650"/>
      <c r="BU204" s="650"/>
      <c r="BV204" s="650"/>
      <c r="BW204" s="650"/>
      <c r="BX204" s="650"/>
      <c r="BY204" s="650"/>
      <c r="BZ204" s="650"/>
      <c r="CA204" s="650"/>
      <c r="CB204" s="650"/>
      <c r="CC204" s="650"/>
      <c r="CD204" s="650"/>
      <c r="CE204" s="650"/>
      <c r="CF204" s="650"/>
      <c r="CG204" s="650"/>
      <c r="CH204" s="650"/>
      <c r="CI204" s="650"/>
      <c r="CJ204" s="650"/>
      <c r="CK204" s="650"/>
      <c r="CL204" s="650"/>
      <c r="CM204" s="650"/>
      <c r="CN204" s="650"/>
    </row>
    <row r="205" spans="1:92" s="649" customFormat="1" ht="45" customHeight="1" x14ac:dyDescent="0.25">
      <c r="A205" s="1064" t="s">
        <v>604</v>
      </c>
      <c r="B205" s="1116" t="s">
        <v>649</v>
      </c>
      <c r="C205" s="853" t="s">
        <v>493</v>
      </c>
      <c r="D205" s="864">
        <v>1</v>
      </c>
      <c r="E205" s="798">
        <v>0.27</v>
      </c>
      <c r="F205" s="866">
        <v>1490000</v>
      </c>
      <c r="G205" s="662">
        <v>20</v>
      </c>
      <c r="H205" s="662">
        <f t="shared" ref="H205:H206" si="28">D205*E205*F205*G205</f>
        <v>8046000</v>
      </c>
      <c r="I205" s="882"/>
      <c r="J205" s="909"/>
      <c r="K205" s="881"/>
      <c r="L205" s="741"/>
      <c r="M205" s="650"/>
      <c r="N205" s="650"/>
      <c r="O205" s="650"/>
      <c r="P205" s="650"/>
      <c r="Q205" s="650"/>
      <c r="R205" s="650"/>
      <c r="S205" s="650"/>
      <c r="T205" s="650"/>
      <c r="U205" s="650"/>
      <c r="V205" s="650"/>
      <c r="W205" s="650"/>
      <c r="X205" s="650"/>
      <c r="Y205" s="650"/>
      <c r="Z205" s="650"/>
      <c r="AA205" s="650"/>
      <c r="AB205" s="650"/>
      <c r="AC205" s="650"/>
      <c r="AD205" s="650"/>
      <c r="AE205" s="650"/>
      <c r="AF205" s="650"/>
      <c r="AG205" s="650"/>
      <c r="AH205" s="650"/>
      <c r="AI205" s="650"/>
      <c r="AJ205" s="650"/>
      <c r="AK205" s="650"/>
      <c r="AL205" s="650"/>
      <c r="AM205" s="650"/>
      <c r="AN205" s="650"/>
      <c r="AO205" s="650"/>
      <c r="AP205" s="650"/>
      <c r="AQ205" s="650"/>
      <c r="AR205" s="650"/>
      <c r="AS205" s="650"/>
      <c r="AT205" s="650"/>
      <c r="AU205" s="650"/>
      <c r="AV205" s="650"/>
      <c r="AW205" s="650"/>
      <c r="AX205" s="650"/>
      <c r="AY205" s="650"/>
      <c r="AZ205" s="650"/>
      <c r="BA205" s="650"/>
      <c r="BB205" s="650"/>
      <c r="BC205" s="650"/>
      <c r="BD205" s="650"/>
      <c r="BE205" s="650"/>
      <c r="BF205" s="650"/>
      <c r="BG205" s="650"/>
      <c r="BH205" s="650"/>
      <c r="BI205" s="650"/>
      <c r="BJ205" s="650"/>
      <c r="BK205" s="650"/>
      <c r="BL205" s="650"/>
      <c r="BM205" s="650"/>
      <c r="BN205" s="650"/>
      <c r="BO205" s="650"/>
      <c r="BP205" s="650"/>
      <c r="BQ205" s="650"/>
      <c r="BR205" s="650"/>
      <c r="BS205" s="650"/>
      <c r="BT205" s="650"/>
      <c r="BU205" s="650"/>
      <c r="BV205" s="650"/>
      <c r="BW205" s="650"/>
      <c r="BX205" s="650"/>
      <c r="BY205" s="650"/>
      <c r="BZ205" s="650"/>
      <c r="CA205" s="650"/>
      <c r="CB205" s="650"/>
      <c r="CC205" s="650"/>
      <c r="CD205" s="650"/>
      <c r="CE205" s="650"/>
      <c r="CF205" s="650"/>
      <c r="CG205" s="650"/>
      <c r="CH205" s="650"/>
      <c r="CI205" s="650"/>
      <c r="CJ205" s="650"/>
      <c r="CK205" s="650"/>
      <c r="CL205" s="650"/>
      <c r="CM205" s="650"/>
      <c r="CN205" s="650"/>
    </row>
    <row r="206" spans="1:92" s="649" customFormat="1" ht="42.75" customHeight="1" x14ac:dyDescent="0.25">
      <c r="A206" s="1065"/>
      <c r="B206" s="1117"/>
      <c r="C206" s="853" t="s">
        <v>494</v>
      </c>
      <c r="D206" s="864">
        <v>1</v>
      </c>
      <c r="E206" s="798">
        <v>0.2</v>
      </c>
      <c r="F206" s="866">
        <v>1490000</v>
      </c>
      <c r="G206" s="662">
        <v>15</v>
      </c>
      <c r="H206" s="662">
        <f t="shared" si="28"/>
        <v>4470000</v>
      </c>
      <c r="I206" s="882"/>
      <c r="J206" s="909"/>
      <c r="K206" s="881"/>
      <c r="L206" s="741"/>
      <c r="M206" s="650"/>
      <c r="N206" s="650"/>
      <c r="O206" s="650"/>
      <c r="P206" s="650"/>
      <c r="Q206" s="650"/>
      <c r="R206" s="650"/>
      <c r="S206" s="650"/>
      <c r="T206" s="650"/>
      <c r="U206" s="650"/>
      <c r="V206" s="650"/>
      <c r="W206" s="650"/>
      <c r="X206" s="650"/>
      <c r="Y206" s="650"/>
      <c r="Z206" s="650"/>
      <c r="AA206" s="650"/>
      <c r="AB206" s="650"/>
      <c r="AC206" s="650"/>
      <c r="AD206" s="650"/>
      <c r="AE206" s="650"/>
      <c r="AF206" s="650"/>
      <c r="AG206" s="650"/>
      <c r="AH206" s="650"/>
      <c r="AI206" s="650"/>
      <c r="AJ206" s="650"/>
      <c r="AK206" s="650"/>
      <c r="AL206" s="650"/>
      <c r="AM206" s="650"/>
      <c r="AN206" s="650"/>
      <c r="AO206" s="650"/>
      <c r="AP206" s="650"/>
      <c r="AQ206" s="650"/>
      <c r="AR206" s="650"/>
      <c r="AS206" s="650"/>
      <c r="AT206" s="650"/>
      <c r="AU206" s="650"/>
      <c r="AV206" s="650"/>
      <c r="AW206" s="650"/>
      <c r="AX206" s="650"/>
      <c r="AY206" s="650"/>
      <c r="AZ206" s="650"/>
      <c r="BA206" s="650"/>
      <c r="BB206" s="650"/>
      <c r="BC206" s="650"/>
      <c r="BD206" s="650"/>
      <c r="BE206" s="650"/>
      <c r="BF206" s="650"/>
      <c r="BG206" s="650"/>
      <c r="BH206" s="650"/>
      <c r="BI206" s="650"/>
      <c r="BJ206" s="650"/>
      <c r="BK206" s="650"/>
      <c r="BL206" s="650"/>
      <c r="BM206" s="650"/>
      <c r="BN206" s="650"/>
      <c r="BO206" s="650"/>
      <c r="BP206" s="650"/>
      <c r="BQ206" s="650"/>
      <c r="BR206" s="650"/>
      <c r="BS206" s="650"/>
      <c r="BT206" s="650"/>
      <c r="BU206" s="650"/>
      <c r="BV206" s="650"/>
      <c r="BW206" s="650"/>
      <c r="BX206" s="650"/>
      <c r="BY206" s="650"/>
      <c r="BZ206" s="650"/>
      <c r="CA206" s="650"/>
      <c r="CB206" s="650"/>
      <c r="CC206" s="650"/>
      <c r="CD206" s="650"/>
      <c r="CE206" s="650"/>
      <c r="CF206" s="650"/>
      <c r="CG206" s="650"/>
      <c r="CH206" s="650"/>
      <c r="CI206" s="650"/>
      <c r="CJ206" s="650"/>
      <c r="CK206" s="650"/>
      <c r="CL206" s="650"/>
      <c r="CM206" s="650"/>
      <c r="CN206" s="650"/>
    </row>
    <row r="207" spans="1:92" s="649" customFormat="1" ht="47.25" customHeight="1" x14ac:dyDescent="0.25">
      <c r="A207" s="1066"/>
      <c r="B207" s="1118"/>
      <c r="C207" s="648" t="s">
        <v>449</v>
      </c>
      <c r="D207" s="719"/>
      <c r="E207" s="666"/>
      <c r="F207" s="739"/>
      <c r="G207" s="667">
        <f>(D205*G205)+(D206*G206)</f>
        <v>35</v>
      </c>
      <c r="H207" s="667">
        <f>SUM(H205:H206)</f>
        <v>12516000</v>
      </c>
      <c r="I207" s="882"/>
      <c r="J207" s="909">
        <f>H207</f>
        <v>12516000</v>
      </c>
      <c r="K207" s="881"/>
      <c r="L207" s="792"/>
      <c r="M207" s="650"/>
      <c r="N207" s="650"/>
      <c r="O207" s="650"/>
      <c r="P207" s="650"/>
      <c r="Q207" s="650"/>
      <c r="R207" s="650"/>
      <c r="S207" s="650"/>
      <c r="T207" s="650"/>
      <c r="U207" s="650"/>
      <c r="V207" s="650"/>
      <c r="W207" s="650"/>
      <c r="X207" s="650"/>
      <c r="Y207" s="650"/>
      <c r="Z207" s="650"/>
      <c r="AA207" s="650"/>
      <c r="AB207" s="650"/>
      <c r="AC207" s="650"/>
      <c r="AD207" s="650"/>
      <c r="AE207" s="650"/>
      <c r="AF207" s="650"/>
      <c r="AG207" s="650"/>
      <c r="AH207" s="650"/>
      <c r="AI207" s="650"/>
      <c r="AJ207" s="650"/>
      <c r="AK207" s="650"/>
      <c r="AL207" s="650"/>
      <c r="AM207" s="650"/>
      <c r="AN207" s="650"/>
      <c r="AO207" s="650"/>
      <c r="AP207" s="650"/>
      <c r="AQ207" s="650"/>
      <c r="AR207" s="650"/>
      <c r="AS207" s="650"/>
      <c r="AT207" s="650"/>
      <c r="AU207" s="650"/>
      <c r="AV207" s="650"/>
      <c r="AW207" s="650"/>
      <c r="AX207" s="650"/>
      <c r="AY207" s="650"/>
      <c r="AZ207" s="650"/>
      <c r="BA207" s="650"/>
      <c r="BB207" s="650"/>
      <c r="BC207" s="650"/>
      <c r="BD207" s="650"/>
      <c r="BE207" s="650"/>
      <c r="BF207" s="650"/>
      <c r="BG207" s="650"/>
      <c r="BH207" s="650"/>
      <c r="BI207" s="650"/>
      <c r="BJ207" s="650"/>
      <c r="BK207" s="650"/>
      <c r="BL207" s="650"/>
      <c r="BM207" s="650"/>
      <c r="BN207" s="650"/>
      <c r="BO207" s="650"/>
      <c r="BP207" s="650"/>
      <c r="BQ207" s="650"/>
      <c r="BR207" s="650"/>
      <c r="BS207" s="650"/>
      <c r="BT207" s="650"/>
      <c r="BU207" s="650"/>
      <c r="BV207" s="650"/>
      <c r="BW207" s="650"/>
      <c r="BX207" s="650"/>
      <c r="BY207" s="650"/>
      <c r="BZ207" s="650"/>
      <c r="CA207" s="650"/>
      <c r="CB207" s="650"/>
      <c r="CC207" s="650"/>
      <c r="CD207" s="650"/>
      <c r="CE207" s="650"/>
      <c r="CF207" s="650"/>
      <c r="CG207" s="650"/>
      <c r="CH207" s="650"/>
      <c r="CI207" s="650"/>
      <c r="CJ207" s="650"/>
      <c r="CK207" s="650"/>
      <c r="CL207" s="650"/>
      <c r="CM207" s="650"/>
      <c r="CN207" s="650"/>
    </row>
    <row r="208" spans="1:92" s="649" customFormat="1" ht="65.25" customHeight="1" x14ac:dyDescent="0.25">
      <c r="A208" s="851">
        <v>5</v>
      </c>
      <c r="B208" s="852" t="s">
        <v>650</v>
      </c>
      <c r="C208" s="848"/>
      <c r="D208" s="848"/>
      <c r="E208" s="848"/>
      <c r="F208" s="850"/>
      <c r="G208" s="845">
        <f>SUM(,G211,G214,G218,G222)</f>
        <v>200</v>
      </c>
      <c r="H208" s="845">
        <f>SUM(H211,H214,H218,H222)</f>
        <v>80758000</v>
      </c>
      <c r="I208" s="846"/>
      <c r="J208" s="847">
        <f>H208</f>
        <v>80758000</v>
      </c>
      <c r="K208" s="848"/>
      <c r="L208" s="650"/>
      <c r="M208" s="650"/>
      <c r="N208" s="650"/>
      <c r="O208" s="650"/>
      <c r="P208" s="650"/>
      <c r="Q208" s="650"/>
      <c r="R208" s="650"/>
      <c r="S208" s="650"/>
      <c r="T208" s="650"/>
      <c r="U208" s="650"/>
      <c r="V208" s="650"/>
      <c r="W208" s="650"/>
      <c r="X208" s="650"/>
      <c r="Y208" s="650"/>
      <c r="Z208" s="650"/>
      <c r="AA208" s="650"/>
      <c r="AB208" s="650"/>
      <c r="AC208" s="650"/>
      <c r="AD208" s="650"/>
      <c r="AE208" s="650"/>
      <c r="AF208" s="650"/>
      <c r="AG208" s="650"/>
      <c r="AH208" s="650"/>
      <c r="AI208" s="650"/>
      <c r="AJ208" s="650"/>
      <c r="AK208" s="650"/>
      <c r="AL208" s="650"/>
      <c r="AM208" s="650"/>
      <c r="AN208" s="650"/>
      <c r="AO208" s="650"/>
      <c r="AP208" s="650"/>
      <c r="AQ208" s="650"/>
      <c r="AR208" s="650"/>
      <c r="AS208" s="650"/>
      <c r="AT208" s="650"/>
      <c r="AU208" s="650"/>
      <c r="AV208" s="650"/>
      <c r="AW208" s="650"/>
      <c r="AX208" s="650"/>
      <c r="AY208" s="650"/>
      <c r="AZ208" s="650"/>
      <c r="BA208" s="650"/>
      <c r="BB208" s="650"/>
      <c r="BC208" s="650"/>
      <c r="BD208" s="650"/>
      <c r="BE208" s="650"/>
      <c r="BF208" s="650"/>
      <c r="BG208" s="650"/>
      <c r="BH208" s="650"/>
      <c r="BI208" s="650"/>
      <c r="BJ208" s="650"/>
      <c r="BK208" s="650"/>
      <c r="BL208" s="650"/>
      <c r="BM208" s="650"/>
      <c r="BN208" s="650"/>
      <c r="BO208" s="650"/>
      <c r="BP208" s="650"/>
      <c r="BQ208" s="650"/>
      <c r="BR208" s="650"/>
      <c r="BS208" s="650"/>
      <c r="BT208" s="650"/>
      <c r="BU208" s="650"/>
      <c r="BV208" s="650"/>
      <c r="BW208" s="650"/>
      <c r="BX208" s="650"/>
      <c r="BY208" s="650"/>
      <c r="BZ208" s="650"/>
      <c r="CA208" s="650"/>
      <c r="CB208" s="650"/>
      <c r="CC208" s="650"/>
      <c r="CD208" s="650"/>
      <c r="CE208" s="650"/>
      <c r="CF208" s="650"/>
      <c r="CG208" s="650"/>
      <c r="CH208" s="650"/>
      <c r="CI208" s="650"/>
      <c r="CJ208" s="650"/>
      <c r="CK208" s="650"/>
      <c r="CL208" s="650"/>
      <c r="CM208" s="650"/>
      <c r="CN208" s="650"/>
    </row>
    <row r="209" spans="1:12" s="796" customFormat="1" ht="34.5" customHeight="1" x14ac:dyDescent="0.25">
      <c r="A209" s="1125" t="s">
        <v>378</v>
      </c>
      <c r="B209" s="1098" t="s">
        <v>651</v>
      </c>
      <c r="C209" s="771" t="s">
        <v>492</v>
      </c>
      <c r="D209" s="782">
        <v>1</v>
      </c>
      <c r="E209" s="693">
        <v>0.49</v>
      </c>
      <c r="F209" s="783">
        <v>1490000</v>
      </c>
      <c r="G209" s="893">
        <v>20</v>
      </c>
      <c r="H209" s="893">
        <f>D209*E209*F209*G209</f>
        <v>14602000</v>
      </c>
      <c r="I209" s="782"/>
      <c r="J209" s="918"/>
      <c r="K209" s="694"/>
      <c r="L209" s="741"/>
    </row>
    <row r="210" spans="1:12" s="796" customFormat="1" ht="33" customHeight="1" x14ac:dyDescent="0.25">
      <c r="A210" s="1126"/>
      <c r="B210" s="1099"/>
      <c r="C210" s="771" t="s">
        <v>494</v>
      </c>
      <c r="D210" s="782">
        <v>1</v>
      </c>
      <c r="E210" s="693">
        <v>0.2</v>
      </c>
      <c r="F210" s="783">
        <v>1490000</v>
      </c>
      <c r="G210" s="893">
        <v>20</v>
      </c>
      <c r="H210" s="893">
        <f t="shared" ref="H210" si="29">D210*E210*F210*G210</f>
        <v>5960000</v>
      </c>
      <c r="I210" s="782"/>
      <c r="J210" s="782"/>
      <c r="K210" s="772"/>
      <c r="L210" s="741"/>
    </row>
    <row r="211" spans="1:12" s="796" customFormat="1" ht="31.5" customHeight="1" x14ac:dyDescent="0.25">
      <c r="A211" s="1127"/>
      <c r="B211" s="1128"/>
      <c r="C211" s="710" t="s">
        <v>449</v>
      </c>
      <c r="D211" s="912"/>
      <c r="E211" s="913"/>
      <c r="F211" s="914"/>
      <c r="G211" s="904">
        <f>(D209*G209)+(D210*G210)</f>
        <v>40</v>
      </c>
      <c r="H211" s="904">
        <f>SUM(H209:H210)</f>
        <v>20562000</v>
      </c>
      <c r="I211" s="717"/>
      <c r="J211" s="702">
        <f>H211</f>
        <v>20562000</v>
      </c>
      <c r="K211" s="693"/>
    </row>
    <row r="212" spans="1:12" s="796" customFormat="1" ht="31.5" customHeight="1" x14ac:dyDescent="0.25">
      <c r="A212" s="1125" t="s">
        <v>379</v>
      </c>
      <c r="B212" s="1098" t="s">
        <v>652</v>
      </c>
      <c r="C212" s="782" t="s">
        <v>495</v>
      </c>
      <c r="D212" s="782">
        <v>1</v>
      </c>
      <c r="E212" s="694">
        <v>0.27</v>
      </c>
      <c r="F212" s="783">
        <v>1490000</v>
      </c>
      <c r="G212" s="784">
        <v>20</v>
      </c>
      <c r="H212" s="815">
        <f>E212*F212*G212*D212</f>
        <v>8046000</v>
      </c>
      <c r="I212" s="808"/>
      <c r="J212" s="809"/>
      <c r="K212" s="772"/>
      <c r="L212" s="741"/>
    </row>
    <row r="213" spans="1:12" s="796" customFormat="1" ht="26.25" customHeight="1" x14ac:dyDescent="0.25">
      <c r="A213" s="1126"/>
      <c r="B213" s="1099"/>
      <c r="C213" s="782" t="s">
        <v>493</v>
      </c>
      <c r="D213" s="782">
        <v>1</v>
      </c>
      <c r="E213" s="772">
        <v>0.27</v>
      </c>
      <c r="F213" s="783">
        <v>1490000</v>
      </c>
      <c r="G213" s="784">
        <v>20</v>
      </c>
      <c r="H213" s="815">
        <f t="shared" ref="H213" si="30">E213*F213*G213*D213</f>
        <v>8046000</v>
      </c>
      <c r="I213" s="808"/>
      <c r="J213" s="809"/>
      <c r="K213" s="772"/>
      <c r="L213" s="741"/>
    </row>
    <row r="214" spans="1:12" s="796" customFormat="1" ht="26.25" customHeight="1" x14ac:dyDescent="0.25">
      <c r="A214" s="1126"/>
      <c r="B214" s="1099"/>
      <c r="C214" s="700" t="s">
        <v>449</v>
      </c>
      <c r="D214" s="915"/>
      <c r="E214" s="913"/>
      <c r="F214" s="916"/>
      <c r="G214" s="904">
        <f>G212+G213</f>
        <v>40</v>
      </c>
      <c r="H214" s="758">
        <f>H212+H213</f>
        <v>16092000</v>
      </c>
      <c r="I214" s="808"/>
      <c r="J214" s="766">
        <f>H214</f>
        <v>16092000</v>
      </c>
      <c r="K214" s="772"/>
      <c r="L214" s="741"/>
    </row>
    <row r="215" spans="1:12" s="796" customFormat="1" ht="43.5" customHeight="1" x14ac:dyDescent="0.25">
      <c r="A215" s="1125" t="s">
        <v>528</v>
      </c>
      <c r="B215" s="1098" t="s">
        <v>653</v>
      </c>
      <c r="C215" s="771" t="s">
        <v>495</v>
      </c>
      <c r="D215" s="782">
        <v>1</v>
      </c>
      <c r="E215" s="693">
        <v>0.27</v>
      </c>
      <c r="F215" s="783">
        <v>1490000</v>
      </c>
      <c r="G215" s="893">
        <v>20</v>
      </c>
      <c r="H215" s="893">
        <f t="shared" ref="H215:H217" si="31">D215*E215*F215*G215</f>
        <v>8046000</v>
      </c>
      <c r="I215" s="808"/>
      <c r="J215" s="766"/>
      <c r="K215" s="772"/>
    </row>
    <row r="216" spans="1:12" s="796" customFormat="1" ht="43.5" customHeight="1" x14ac:dyDescent="0.25">
      <c r="A216" s="1126"/>
      <c r="B216" s="1099"/>
      <c r="C216" s="771" t="s">
        <v>493</v>
      </c>
      <c r="D216" s="782">
        <v>1</v>
      </c>
      <c r="E216" s="693">
        <v>0.27</v>
      </c>
      <c r="F216" s="783">
        <v>1490000</v>
      </c>
      <c r="G216" s="893">
        <v>20</v>
      </c>
      <c r="H216" s="893">
        <f t="shared" si="31"/>
        <v>8046000</v>
      </c>
      <c r="I216" s="808"/>
      <c r="J216" s="766"/>
      <c r="K216" s="772"/>
      <c r="L216" s="741"/>
    </row>
    <row r="217" spans="1:12" s="796" customFormat="1" ht="43.5" customHeight="1" x14ac:dyDescent="0.25">
      <c r="A217" s="1126"/>
      <c r="B217" s="1099"/>
      <c r="C217" s="771" t="s">
        <v>494</v>
      </c>
      <c r="D217" s="782">
        <v>1</v>
      </c>
      <c r="E217" s="693">
        <v>0.2</v>
      </c>
      <c r="F217" s="783">
        <v>1490000</v>
      </c>
      <c r="G217" s="893">
        <v>20</v>
      </c>
      <c r="H217" s="893">
        <f t="shared" si="31"/>
        <v>5960000</v>
      </c>
      <c r="I217" s="808"/>
      <c r="J217" s="766"/>
      <c r="K217" s="772"/>
      <c r="L217" s="741"/>
    </row>
    <row r="218" spans="1:12" s="796" customFormat="1" ht="40.5" customHeight="1" x14ac:dyDescent="0.25">
      <c r="A218" s="1127"/>
      <c r="B218" s="1128"/>
      <c r="C218" s="710" t="s">
        <v>449</v>
      </c>
      <c r="D218" s="912"/>
      <c r="E218" s="913"/>
      <c r="F218" s="914"/>
      <c r="G218" s="904">
        <f>G215+G216+G217</f>
        <v>60</v>
      </c>
      <c r="H218" s="904">
        <f>SUM(H215:H217)</f>
        <v>22052000</v>
      </c>
      <c r="I218" s="917"/>
      <c r="J218" s="766">
        <f>H218</f>
        <v>22052000</v>
      </c>
      <c r="K218" s="772"/>
    </row>
    <row r="219" spans="1:12" s="796" customFormat="1" ht="50.25" customHeight="1" x14ac:dyDescent="0.25">
      <c r="A219" s="1125" t="s">
        <v>654</v>
      </c>
      <c r="B219" s="1098" t="s">
        <v>655</v>
      </c>
      <c r="C219" s="771" t="s">
        <v>495</v>
      </c>
      <c r="D219" s="782">
        <v>1</v>
      </c>
      <c r="E219" s="693">
        <v>0.27</v>
      </c>
      <c r="F219" s="783">
        <v>1490000</v>
      </c>
      <c r="G219" s="893">
        <v>20</v>
      </c>
      <c r="H219" s="893">
        <f t="shared" ref="H219:H221" si="32">D219*E219*F219*G219</f>
        <v>8046000</v>
      </c>
      <c r="I219" s="808"/>
      <c r="J219" s="766"/>
      <c r="K219" s="772"/>
    </row>
    <row r="220" spans="1:12" s="796" customFormat="1" ht="36" customHeight="1" x14ac:dyDescent="0.25">
      <c r="A220" s="1126"/>
      <c r="B220" s="1099"/>
      <c r="C220" s="771" t="s">
        <v>493</v>
      </c>
      <c r="D220" s="782">
        <v>1</v>
      </c>
      <c r="E220" s="693">
        <v>0.27</v>
      </c>
      <c r="F220" s="783">
        <v>1490000</v>
      </c>
      <c r="G220" s="893">
        <v>20</v>
      </c>
      <c r="H220" s="893">
        <f t="shared" si="32"/>
        <v>8046000</v>
      </c>
      <c r="I220" s="808"/>
      <c r="J220" s="766"/>
      <c r="K220" s="773"/>
      <c r="L220" s="741"/>
    </row>
    <row r="221" spans="1:12" s="796" customFormat="1" ht="39.75" customHeight="1" x14ac:dyDescent="0.25">
      <c r="A221" s="1126"/>
      <c r="B221" s="1099"/>
      <c r="C221" s="771" t="s">
        <v>494</v>
      </c>
      <c r="D221" s="782">
        <v>1</v>
      </c>
      <c r="E221" s="693">
        <v>0.2</v>
      </c>
      <c r="F221" s="783">
        <v>1490000</v>
      </c>
      <c r="G221" s="893">
        <v>20</v>
      </c>
      <c r="H221" s="893">
        <f t="shared" si="32"/>
        <v>5960000</v>
      </c>
      <c r="I221" s="808"/>
      <c r="J221" s="766"/>
      <c r="K221" s="773"/>
      <c r="L221" s="741"/>
    </row>
    <row r="222" spans="1:12" s="796" customFormat="1" ht="39" customHeight="1" x14ac:dyDescent="0.25">
      <c r="A222" s="1127"/>
      <c r="B222" s="1128"/>
      <c r="C222" s="710" t="s">
        <v>449</v>
      </c>
      <c r="D222" s="912"/>
      <c r="E222" s="913"/>
      <c r="F222" s="914"/>
      <c r="G222" s="904">
        <f>G219+G220+G221</f>
        <v>60</v>
      </c>
      <c r="H222" s="904">
        <f>SUM(H219:H221)</f>
        <v>22052000</v>
      </c>
      <c r="I222" s="917"/>
      <c r="J222" s="766">
        <f>H222</f>
        <v>22052000</v>
      </c>
      <c r="K222" s="773"/>
    </row>
    <row r="223" spans="1:12" s="796" customFormat="1" ht="77.25" customHeight="1" x14ac:dyDescent="0.25">
      <c r="A223" s="800">
        <v>6</v>
      </c>
      <c r="B223" s="801" t="s">
        <v>540</v>
      </c>
      <c r="C223" s="801"/>
      <c r="D223" s="802"/>
      <c r="E223" s="803"/>
      <c r="F223" s="804"/>
      <c r="G223" s="805">
        <f>SUM(G224:G227)</f>
        <v>80</v>
      </c>
      <c r="H223" s="805">
        <f>SUM(H224:H227)</f>
        <v>38740000</v>
      </c>
      <c r="I223" s="806"/>
      <c r="J223" s="807">
        <f t="shared" ref="J223:J230" si="33">H223</f>
        <v>38740000</v>
      </c>
      <c r="K223" s="803"/>
    </row>
    <row r="224" spans="1:12" s="796" customFormat="1" ht="75.75" customHeight="1" x14ac:dyDescent="0.25">
      <c r="A224" s="859" t="s">
        <v>502</v>
      </c>
      <c r="B224" s="710" t="s">
        <v>735</v>
      </c>
      <c r="C224" s="742" t="s">
        <v>492</v>
      </c>
      <c r="D224" s="742">
        <v>1</v>
      </c>
      <c r="E224" s="926">
        <v>0.49</v>
      </c>
      <c r="F224" s="731">
        <v>1490000</v>
      </c>
      <c r="G224" s="707">
        <v>20</v>
      </c>
      <c r="H224" s="703">
        <f>E224*F224*G224*D224</f>
        <v>14602000</v>
      </c>
      <c r="I224" s="746"/>
      <c r="J224" s="766">
        <f t="shared" si="33"/>
        <v>14602000</v>
      </c>
      <c r="K224" s="772"/>
      <c r="L224" s="741"/>
    </row>
    <row r="225" spans="1:12" s="796" customFormat="1" ht="69.75" customHeight="1" x14ac:dyDescent="0.25">
      <c r="A225" s="859" t="s">
        <v>503</v>
      </c>
      <c r="B225" s="710" t="s">
        <v>736</v>
      </c>
      <c r="C225" s="742" t="s">
        <v>493</v>
      </c>
      <c r="D225" s="742">
        <v>1</v>
      </c>
      <c r="E225" s="926">
        <v>0.27</v>
      </c>
      <c r="F225" s="731">
        <v>1490000</v>
      </c>
      <c r="G225" s="707">
        <v>20</v>
      </c>
      <c r="H225" s="703">
        <f>E225*F225*G225*D225</f>
        <v>8046000</v>
      </c>
      <c r="I225" s="746"/>
      <c r="J225" s="766">
        <f t="shared" si="33"/>
        <v>8046000</v>
      </c>
      <c r="K225" s="772"/>
      <c r="L225" s="741"/>
    </row>
    <row r="226" spans="1:12" s="796" customFormat="1" ht="68.25" customHeight="1" x14ac:dyDescent="0.25">
      <c r="A226" s="859" t="s">
        <v>541</v>
      </c>
      <c r="B226" s="710" t="s">
        <v>737</v>
      </c>
      <c r="C226" s="742" t="s">
        <v>493</v>
      </c>
      <c r="D226" s="742">
        <v>1</v>
      </c>
      <c r="E226" s="860">
        <v>0.27</v>
      </c>
      <c r="F226" s="731">
        <v>1490000</v>
      </c>
      <c r="G226" s="707">
        <v>20</v>
      </c>
      <c r="H226" s="703">
        <f>E226*F226*G226*D226</f>
        <v>8046000</v>
      </c>
      <c r="I226" s="746"/>
      <c r="J226" s="766">
        <f t="shared" si="33"/>
        <v>8046000</v>
      </c>
      <c r="K226" s="772"/>
      <c r="L226" s="741"/>
    </row>
    <row r="227" spans="1:12" s="796" customFormat="1" ht="55.5" customHeight="1" x14ac:dyDescent="0.25">
      <c r="A227" s="859" t="s">
        <v>549</v>
      </c>
      <c r="B227" s="710" t="s">
        <v>738</v>
      </c>
      <c r="C227" s="859" t="s">
        <v>493</v>
      </c>
      <c r="D227" s="742">
        <v>1</v>
      </c>
      <c r="E227" s="860">
        <v>0.27</v>
      </c>
      <c r="F227" s="731">
        <v>1490000</v>
      </c>
      <c r="G227" s="707">
        <v>20</v>
      </c>
      <c r="H227" s="703">
        <f>E227*F227*G227*D227</f>
        <v>8046000</v>
      </c>
      <c r="I227" s="746"/>
      <c r="J227" s="766">
        <f t="shared" si="33"/>
        <v>8046000</v>
      </c>
      <c r="K227" s="772"/>
      <c r="L227" s="741"/>
    </row>
    <row r="228" spans="1:12" s="650" customFormat="1" ht="41.25" customHeight="1" x14ac:dyDescent="0.25">
      <c r="A228" s="1119">
        <v>7</v>
      </c>
      <c r="B228" s="1122" t="s">
        <v>543</v>
      </c>
      <c r="C228" s="851" t="s">
        <v>492</v>
      </c>
      <c r="D228" s="861">
        <v>1</v>
      </c>
      <c r="E228" s="919">
        <v>0.49</v>
      </c>
      <c r="F228" s="845">
        <v>1490000</v>
      </c>
      <c r="G228" s="886">
        <v>25</v>
      </c>
      <c r="H228" s="886">
        <f>E228*F228*G228</f>
        <v>18252500</v>
      </c>
      <c r="I228" s="747"/>
      <c r="J228" s="767">
        <f t="shared" si="33"/>
        <v>18252500</v>
      </c>
      <c r="K228" s="696"/>
    </row>
    <row r="229" spans="1:12" s="650" customFormat="1" ht="41.25" customHeight="1" x14ac:dyDescent="0.25">
      <c r="A229" s="1120"/>
      <c r="B229" s="1123"/>
      <c r="C229" s="894" t="s">
        <v>493</v>
      </c>
      <c r="D229" s="861">
        <v>2</v>
      </c>
      <c r="E229" s="920">
        <v>0.27</v>
      </c>
      <c r="F229" s="738">
        <v>1490000</v>
      </c>
      <c r="G229" s="697">
        <v>15</v>
      </c>
      <c r="H229" s="921">
        <f>E229*F229*G229*D229</f>
        <v>12069000</v>
      </c>
      <c r="I229" s="896"/>
      <c r="J229" s="897">
        <f t="shared" si="33"/>
        <v>12069000</v>
      </c>
      <c r="K229" s="898"/>
      <c r="L229" s="741"/>
    </row>
    <row r="230" spans="1:12" s="650" customFormat="1" ht="41.25" customHeight="1" x14ac:dyDescent="0.25">
      <c r="A230" s="1121"/>
      <c r="B230" s="1124"/>
      <c r="C230" s="894" t="s">
        <v>449</v>
      </c>
      <c r="D230" s="718"/>
      <c r="E230" s="899"/>
      <c r="F230" s="900"/>
      <c r="G230" s="895">
        <f>G228+(G229*D229)</f>
        <v>55</v>
      </c>
      <c r="H230" s="895">
        <f>H228+H229</f>
        <v>30321500</v>
      </c>
      <c r="I230" s="896"/>
      <c r="J230" s="897">
        <f t="shared" si="33"/>
        <v>30321500</v>
      </c>
      <c r="K230" s="898"/>
    </row>
    <row r="231" spans="1:12" ht="32.25" customHeight="1" x14ac:dyDescent="0.25">
      <c r="A231" s="644"/>
      <c r="B231" s="659" t="s">
        <v>383</v>
      </c>
      <c r="C231" s="726"/>
      <c r="D231" s="718"/>
      <c r="E231" s="666"/>
      <c r="F231" s="740"/>
      <c r="G231" s="721"/>
      <c r="H231" s="638">
        <f>H7+H11</f>
        <v>988466000</v>
      </c>
      <c r="I231" s="757">
        <f>I7+I11</f>
        <v>389635000</v>
      </c>
      <c r="J231" s="765">
        <f>J11</f>
        <v>598831000</v>
      </c>
      <c r="K231" s="453"/>
    </row>
    <row r="233" spans="1:12" x14ac:dyDescent="0.25">
      <c r="B233" s="304"/>
    </row>
  </sheetData>
  <autoFilter ref="A4:H231" xr:uid="{00000000-0009-0000-0000-00000B000000}"/>
  <mergeCells count="140">
    <mergeCell ref="I4:K5"/>
    <mergeCell ref="A202:A204"/>
    <mergeCell ref="B202:B204"/>
    <mergeCell ref="A205:A207"/>
    <mergeCell ref="B205:B207"/>
    <mergeCell ref="A215:A218"/>
    <mergeCell ref="B215:B218"/>
    <mergeCell ref="A153:A155"/>
    <mergeCell ref="B153:B155"/>
    <mergeCell ref="A156:A158"/>
    <mergeCell ref="B156:B158"/>
    <mergeCell ref="A159:A161"/>
    <mergeCell ref="B159:B161"/>
    <mergeCell ref="A167:A169"/>
    <mergeCell ref="B167:B169"/>
    <mergeCell ref="A170:A172"/>
    <mergeCell ref="B170:B172"/>
    <mergeCell ref="A136:A138"/>
    <mergeCell ref="B136:B138"/>
    <mergeCell ref="A139:A141"/>
    <mergeCell ref="B139:B141"/>
    <mergeCell ref="A143:A145"/>
    <mergeCell ref="B143:B145"/>
    <mergeCell ref="A146:A148"/>
    <mergeCell ref="A228:A230"/>
    <mergeCell ref="B228:B230"/>
    <mergeCell ref="A183:A185"/>
    <mergeCell ref="B183:B185"/>
    <mergeCell ref="A186:A188"/>
    <mergeCell ref="B186:B188"/>
    <mergeCell ref="A189:A191"/>
    <mergeCell ref="B189:B191"/>
    <mergeCell ref="A196:A198"/>
    <mergeCell ref="B196:B198"/>
    <mergeCell ref="A199:A201"/>
    <mergeCell ref="B199:B201"/>
    <mergeCell ref="A209:A211"/>
    <mergeCell ref="B209:B211"/>
    <mergeCell ref="A212:A214"/>
    <mergeCell ref="B212:B214"/>
    <mergeCell ref="B219:B222"/>
    <mergeCell ref="A219:A222"/>
    <mergeCell ref="B146:B148"/>
    <mergeCell ref="A149:A151"/>
    <mergeCell ref="B149:B151"/>
    <mergeCell ref="A123:A125"/>
    <mergeCell ref="B123:B125"/>
    <mergeCell ref="A126:A128"/>
    <mergeCell ref="B126:B128"/>
    <mergeCell ref="A129:A131"/>
    <mergeCell ref="B129:B131"/>
    <mergeCell ref="A133:A135"/>
    <mergeCell ref="B133:B135"/>
    <mergeCell ref="A162:A164"/>
    <mergeCell ref="B162:B164"/>
    <mergeCell ref="A192:A194"/>
    <mergeCell ref="B192:B194"/>
    <mergeCell ref="A173:A175"/>
    <mergeCell ref="B173:B175"/>
    <mergeCell ref="A176:A178"/>
    <mergeCell ref="B176:B178"/>
    <mergeCell ref="A180:A182"/>
    <mergeCell ref="B180:B182"/>
    <mergeCell ref="A85:A87"/>
    <mergeCell ref="B85:B87"/>
    <mergeCell ref="A88:A90"/>
    <mergeCell ref="B88:B90"/>
    <mergeCell ref="A30:A32"/>
    <mergeCell ref="B30:B32"/>
    <mergeCell ref="A33:A35"/>
    <mergeCell ref="B33:B35"/>
    <mergeCell ref="A38:A40"/>
    <mergeCell ref="B38:B40"/>
    <mergeCell ref="A79:A81"/>
    <mergeCell ref="B79:B81"/>
    <mergeCell ref="A82:A84"/>
    <mergeCell ref="B82:B84"/>
    <mergeCell ref="A70:A72"/>
    <mergeCell ref="B70:B72"/>
    <mergeCell ref="A73:A75"/>
    <mergeCell ref="B73:B75"/>
    <mergeCell ref="F26:F29"/>
    <mergeCell ref="G26:G29"/>
    <mergeCell ref="H26:H29"/>
    <mergeCell ref="H13:H17"/>
    <mergeCell ref="K36:K37"/>
    <mergeCell ref="B76:B78"/>
    <mergeCell ref="I36:I37"/>
    <mergeCell ref="J36:J37"/>
    <mergeCell ref="I13:I17"/>
    <mergeCell ref="K13:K17"/>
    <mergeCell ref="K26:K29"/>
    <mergeCell ref="A112:A114"/>
    <mergeCell ref="B112:B114"/>
    <mergeCell ref="C13:C17"/>
    <mergeCell ref="D13:D17"/>
    <mergeCell ref="E13:E17"/>
    <mergeCell ref="F13:F17"/>
    <mergeCell ref="G13:G17"/>
    <mergeCell ref="A2:H2"/>
    <mergeCell ref="A3:H3"/>
    <mergeCell ref="A13:A17"/>
    <mergeCell ref="B13:B17"/>
    <mergeCell ref="A4:A6"/>
    <mergeCell ref="B4:B6"/>
    <mergeCell ref="A36:A37"/>
    <mergeCell ref="B36:B37"/>
    <mergeCell ref="A26:A29"/>
    <mergeCell ref="B26:B29"/>
    <mergeCell ref="C36:C37"/>
    <mergeCell ref="D36:D37"/>
    <mergeCell ref="E36:E37"/>
    <mergeCell ref="F36:F37"/>
    <mergeCell ref="G36:G37"/>
    <mergeCell ref="H36:H37"/>
    <mergeCell ref="C26:C29"/>
    <mergeCell ref="B107:B109"/>
    <mergeCell ref="A76:A78"/>
    <mergeCell ref="A98:A100"/>
    <mergeCell ref="B98:B100"/>
    <mergeCell ref="A101:A103"/>
    <mergeCell ref="F4:F6"/>
    <mergeCell ref="G4:G6"/>
    <mergeCell ref="J13:J17"/>
    <mergeCell ref="I26:I29"/>
    <mergeCell ref="J26:J29"/>
    <mergeCell ref="H4:H6"/>
    <mergeCell ref="C4:C6"/>
    <mergeCell ref="D4:D6"/>
    <mergeCell ref="E4:E6"/>
    <mergeCell ref="B8:B10"/>
    <mergeCell ref="A8:A10"/>
    <mergeCell ref="A92:A94"/>
    <mergeCell ref="B92:B94"/>
    <mergeCell ref="A95:A97"/>
    <mergeCell ref="B95:B97"/>
    <mergeCell ref="A107:A109"/>
    <mergeCell ref="B101:B103"/>
    <mergeCell ref="D26:D29"/>
    <mergeCell ref="E26:E29"/>
  </mergeCells>
  <phoneticPr fontId="122" type="noConversion"/>
  <pageMargins left="0.7" right="0.7" top="0.75" bottom="0.75" header="0.3" footer="0.3"/>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1"/>
  <sheetViews>
    <sheetView workbookViewId="0">
      <selection activeCell="K6" sqref="K6"/>
    </sheetView>
  </sheetViews>
  <sheetFormatPr defaultRowHeight="15" x14ac:dyDescent="0.25"/>
  <cols>
    <col min="1" max="1" width="7.140625" customWidth="1"/>
    <col min="2" max="2" width="27.42578125" customWidth="1"/>
    <col min="3" max="3" width="12.140625" customWidth="1"/>
    <col min="4" max="4" width="14.42578125" bestFit="1" customWidth="1"/>
    <col min="5" max="5" width="16.7109375" customWidth="1"/>
    <col min="6" max="6" width="15.140625" customWidth="1"/>
    <col min="9" max="9" width="10.7109375" bestFit="1" customWidth="1"/>
  </cols>
  <sheetData>
    <row r="1" spans="1:9" ht="16.5" x14ac:dyDescent="0.25">
      <c r="A1" s="620" t="s">
        <v>443</v>
      </c>
    </row>
    <row r="2" spans="1:9" ht="15.75" x14ac:dyDescent="0.25">
      <c r="A2" s="579"/>
    </row>
    <row r="3" spans="1:9" ht="15.75" x14ac:dyDescent="0.25">
      <c r="A3" s="621" t="s">
        <v>444</v>
      </c>
    </row>
    <row r="4" spans="1:9" ht="15.75" x14ac:dyDescent="0.25">
      <c r="A4" s="1040" t="s">
        <v>53</v>
      </c>
      <c r="B4" s="1040" t="s">
        <v>164</v>
      </c>
      <c r="C4" s="1040" t="s">
        <v>445</v>
      </c>
      <c r="D4" s="1040" t="s">
        <v>446</v>
      </c>
      <c r="E4" s="1040" t="s">
        <v>702</v>
      </c>
      <c r="F4" s="1040"/>
    </row>
    <row r="5" spans="1:9" ht="31.5" x14ac:dyDescent="0.25">
      <c r="A5" s="1040"/>
      <c r="B5" s="1040"/>
      <c r="C5" s="1040"/>
      <c r="D5" s="1040"/>
      <c r="E5" s="514" t="s">
        <v>393</v>
      </c>
      <c r="F5" s="514" t="s">
        <v>406</v>
      </c>
    </row>
    <row r="6" spans="1:9" ht="25.5" customHeight="1" x14ac:dyDescent="0.25">
      <c r="A6" s="516">
        <v>1</v>
      </c>
      <c r="B6" s="618" t="s">
        <v>706</v>
      </c>
      <c r="C6" s="516">
        <v>1</v>
      </c>
      <c r="D6" s="516">
        <f>'PL1. Ndung cong viec'!G8+'PL1. Ndung cong viec'!G54+'PL1. Ndung cong viec'!G62+'PL1. Ndung cong viec'!G95+'PL1. Ndung cong viec'!G116+'PL1. Ndung cong viec'!G136+'PL1. Ndung cong viec'!G170+'PL1. Ndung cong viec'!G209+'PL1. Ndung cong viec'!G224+'PL1. Ndung cong viec'!G228</f>
        <v>200</v>
      </c>
      <c r="E6" s="642">
        <f>(D6*H6*I6)</f>
        <v>146020000</v>
      </c>
      <c r="F6" s="516"/>
      <c r="H6" s="323">
        <v>0.49</v>
      </c>
      <c r="I6" s="329">
        <v>1490000</v>
      </c>
    </row>
    <row r="7" spans="1:9" s="304" customFormat="1" ht="25.5" customHeight="1" x14ac:dyDescent="0.25">
      <c r="A7" s="516">
        <v>2</v>
      </c>
      <c r="B7" s="618" t="s">
        <v>470</v>
      </c>
      <c r="C7" s="516">
        <v>1</v>
      </c>
      <c r="D7" s="516">
        <v>195</v>
      </c>
      <c r="E7" s="642">
        <f t="shared" ref="E7:E9" si="0">(D7*H7*I7)</f>
        <v>78448500.000000015</v>
      </c>
      <c r="F7" s="516"/>
      <c r="H7" s="323">
        <v>0.27</v>
      </c>
      <c r="I7" s="329">
        <v>1490000</v>
      </c>
    </row>
    <row r="8" spans="1:9" ht="30" customHeight="1" x14ac:dyDescent="0.25">
      <c r="A8" s="516">
        <v>3</v>
      </c>
      <c r="B8" s="618" t="s">
        <v>471</v>
      </c>
      <c r="C8" s="516">
        <v>8</v>
      </c>
      <c r="D8" s="516">
        <v>1125</v>
      </c>
      <c r="E8" s="642">
        <f t="shared" si="0"/>
        <v>452587500</v>
      </c>
      <c r="F8" s="516"/>
      <c r="H8" s="323">
        <v>0.27</v>
      </c>
      <c r="I8" s="329">
        <v>1490000</v>
      </c>
    </row>
    <row r="9" spans="1:9" ht="28.5" customHeight="1" x14ac:dyDescent="0.25">
      <c r="A9" s="516">
        <v>4</v>
      </c>
      <c r="B9" s="618" t="s">
        <v>47</v>
      </c>
      <c r="C9" s="516">
        <v>24</v>
      </c>
      <c r="D9" s="516">
        <v>1045</v>
      </c>
      <c r="E9" s="642">
        <f t="shared" si="0"/>
        <v>311410000</v>
      </c>
      <c r="F9" s="516"/>
      <c r="H9" s="323">
        <v>0.2</v>
      </c>
      <c r="I9" s="329">
        <v>1490000</v>
      </c>
    </row>
    <row r="10" spans="1:9" ht="31.5" x14ac:dyDescent="0.25">
      <c r="A10" s="635">
        <v>5</v>
      </c>
      <c r="B10" s="618" t="s">
        <v>447</v>
      </c>
      <c r="C10" s="516">
        <v>0</v>
      </c>
      <c r="D10" s="516"/>
      <c r="E10" s="516"/>
      <c r="F10" s="516"/>
    </row>
    <row r="11" spans="1:9" ht="15.75" x14ac:dyDescent="0.25">
      <c r="A11" s="1040" t="s">
        <v>51</v>
      </c>
      <c r="B11" s="1040"/>
      <c r="C11" s="516"/>
      <c r="D11" s="516">
        <f>SUM(D6:D9)</f>
        <v>2565</v>
      </c>
      <c r="E11" s="643">
        <f>SUM(E6:E10)</f>
        <v>988466000</v>
      </c>
      <c r="F11" s="516"/>
    </row>
  </sheetData>
  <mergeCells count="6">
    <mergeCell ref="E4:F4"/>
    <mergeCell ref="A11:B11"/>
    <mergeCell ref="A4:A5"/>
    <mergeCell ref="B4:B5"/>
    <mergeCell ref="C4:C5"/>
    <mergeCell ref="D4:D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9D8FF"/>
  </sheetPr>
  <dimension ref="A1:O54"/>
  <sheetViews>
    <sheetView topLeftCell="A28" zoomScale="80" zoomScaleNormal="80" workbookViewId="0">
      <selection activeCell="B52" sqref="B52"/>
    </sheetView>
  </sheetViews>
  <sheetFormatPr defaultColWidth="10.140625" defaultRowHeight="15" x14ac:dyDescent="0.25"/>
  <cols>
    <col min="1" max="1" width="7.7109375" style="465" customWidth="1"/>
    <col min="2" max="2" width="63.7109375" style="465" customWidth="1"/>
    <col min="3" max="3" width="14.28515625" style="465" customWidth="1"/>
    <col min="4" max="4" width="13.85546875" style="634" bestFit="1" customWidth="1"/>
    <col min="5" max="5" width="15.42578125" style="634" customWidth="1"/>
    <col min="6" max="6" width="17.140625" style="634" bestFit="1" customWidth="1"/>
    <col min="7" max="7" width="23.85546875" style="465" customWidth="1"/>
    <col min="8" max="8" width="17.7109375" style="465" customWidth="1"/>
    <col min="9" max="9" width="17.140625" style="465" customWidth="1"/>
    <col min="10" max="10" width="18.7109375" style="465" customWidth="1"/>
    <col min="11" max="11" width="18.85546875" style="465" bestFit="1" customWidth="1"/>
    <col min="12" max="12" width="14.140625" style="465" customWidth="1"/>
    <col min="13" max="13" width="15.5703125" style="465" bestFit="1" customWidth="1"/>
    <col min="14" max="14" width="10.140625" style="465" customWidth="1"/>
    <col min="15" max="15" width="16.5703125" style="596" bestFit="1" customWidth="1"/>
    <col min="16" max="253" width="10.140625" style="465"/>
    <col min="254" max="254" width="10.140625" style="465" customWidth="1"/>
    <col min="255" max="255" width="27.5703125" style="465" customWidth="1"/>
    <col min="256" max="256" width="10.140625" style="465" customWidth="1"/>
    <col min="257" max="257" width="35.28515625" style="465" customWidth="1"/>
    <col min="258" max="258" width="15.42578125" style="465" customWidth="1"/>
    <col min="259" max="259" width="15" style="465" customWidth="1"/>
    <col min="260" max="260" width="17" style="465" customWidth="1"/>
    <col min="261" max="261" width="19" style="465" customWidth="1"/>
    <col min="262" max="262" width="16.5703125" style="465" bestFit="1" customWidth="1"/>
    <col min="263" max="263" width="16" style="465" customWidth="1"/>
    <col min="264" max="264" width="17.7109375" style="465" customWidth="1"/>
    <col min="265" max="265" width="17.140625" style="465" customWidth="1"/>
    <col min="266" max="266" width="18.7109375" style="465" customWidth="1"/>
    <col min="267" max="267" width="18.85546875" style="465" bestFit="1" customWidth="1"/>
    <col min="268" max="268" width="14.140625" style="465" customWidth="1"/>
    <col min="269" max="269" width="15.5703125" style="465" bestFit="1" customWidth="1"/>
    <col min="270" max="270" width="10.140625" style="465" customWidth="1"/>
    <col min="271" max="271" width="16.5703125" style="465" bestFit="1" customWidth="1"/>
    <col min="272" max="509" width="10.140625" style="465"/>
    <col min="510" max="510" width="10.140625" style="465" customWidth="1"/>
    <col min="511" max="511" width="27.5703125" style="465" customWidth="1"/>
    <col min="512" max="512" width="10.140625" style="465" customWidth="1"/>
    <col min="513" max="513" width="35.28515625" style="465" customWidth="1"/>
    <col min="514" max="514" width="15.42578125" style="465" customWidth="1"/>
    <col min="515" max="515" width="15" style="465" customWidth="1"/>
    <col min="516" max="516" width="17" style="465" customWidth="1"/>
    <col min="517" max="517" width="19" style="465" customWidth="1"/>
    <col min="518" max="518" width="16.5703125" style="465" bestFit="1" customWidth="1"/>
    <col min="519" max="519" width="16" style="465" customWidth="1"/>
    <col min="520" max="520" width="17.7109375" style="465" customWidth="1"/>
    <col min="521" max="521" width="17.140625" style="465" customWidth="1"/>
    <col min="522" max="522" width="18.7109375" style="465" customWidth="1"/>
    <col min="523" max="523" width="18.85546875" style="465" bestFit="1" customWidth="1"/>
    <col min="524" max="524" width="14.140625" style="465" customWidth="1"/>
    <col min="525" max="525" width="15.5703125" style="465" bestFit="1" customWidth="1"/>
    <col min="526" max="526" width="10.140625" style="465" customWidth="1"/>
    <col min="527" max="527" width="16.5703125" style="465" bestFit="1" customWidth="1"/>
    <col min="528" max="765" width="10.140625" style="465"/>
    <col min="766" max="766" width="10.140625" style="465" customWidth="1"/>
    <col min="767" max="767" width="27.5703125" style="465" customWidth="1"/>
    <col min="768" max="768" width="10.140625" style="465" customWidth="1"/>
    <col min="769" max="769" width="35.28515625" style="465" customWidth="1"/>
    <col min="770" max="770" width="15.42578125" style="465" customWidth="1"/>
    <col min="771" max="771" width="15" style="465" customWidth="1"/>
    <col min="772" max="772" width="17" style="465" customWidth="1"/>
    <col min="773" max="773" width="19" style="465" customWidth="1"/>
    <col min="774" max="774" width="16.5703125" style="465" bestFit="1" customWidth="1"/>
    <col min="775" max="775" width="16" style="465" customWidth="1"/>
    <col min="776" max="776" width="17.7109375" style="465" customWidth="1"/>
    <col min="777" max="777" width="17.140625" style="465" customWidth="1"/>
    <col min="778" max="778" width="18.7109375" style="465" customWidth="1"/>
    <col min="779" max="779" width="18.85546875" style="465" bestFit="1" customWidth="1"/>
    <col min="780" max="780" width="14.140625" style="465" customWidth="1"/>
    <col min="781" max="781" width="15.5703125" style="465" bestFit="1" customWidth="1"/>
    <col min="782" max="782" width="10.140625" style="465" customWidth="1"/>
    <col min="783" max="783" width="16.5703125" style="465" bestFit="1" customWidth="1"/>
    <col min="784" max="1021" width="10.140625" style="465"/>
    <col min="1022" max="1022" width="10.140625" style="465" customWidth="1"/>
    <col min="1023" max="1023" width="27.5703125" style="465" customWidth="1"/>
    <col min="1024" max="1024" width="10.140625" style="465" customWidth="1"/>
    <col min="1025" max="1025" width="35.28515625" style="465" customWidth="1"/>
    <col min="1026" max="1026" width="15.42578125" style="465" customWidth="1"/>
    <col min="1027" max="1027" width="15" style="465" customWidth="1"/>
    <col min="1028" max="1028" width="17" style="465" customWidth="1"/>
    <col min="1029" max="1029" width="19" style="465" customWidth="1"/>
    <col min="1030" max="1030" width="16.5703125" style="465" bestFit="1" customWidth="1"/>
    <col min="1031" max="1031" width="16" style="465" customWidth="1"/>
    <col min="1032" max="1032" width="17.7109375" style="465" customWidth="1"/>
    <col min="1033" max="1033" width="17.140625" style="465" customWidth="1"/>
    <col min="1034" max="1034" width="18.7109375" style="465" customWidth="1"/>
    <col min="1035" max="1035" width="18.85546875" style="465" bestFit="1" customWidth="1"/>
    <col min="1036" max="1036" width="14.140625" style="465" customWidth="1"/>
    <col min="1037" max="1037" width="15.5703125" style="465" bestFit="1" customWidth="1"/>
    <col min="1038" max="1038" width="10.140625" style="465" customWidth="1"/>
    <col min="1039" max="1039" width="16.5703125" style="465" bestFit="1" customWidth="1"/>
    <col min="1040" max="1277" width="10.140625" style="465"/>
    <col min="1278" max="1278" width="10.140625" style="465" customWidth="1"/>
    <col min="1279" max="1279" width="27.5703125" style="465" customWidth="1"/>
    <col min="1280" max="1280" width="10.140625" style="465" customWidth="1"/>
    <col min="1281" max="1281" width="35.28515625" style="465" customWidth="1"/>
    <col min="1282" max="1282" width="15.42578125" style="465" customWidth="1"/>
    <col min="1283" max="1283" width="15" style="465" customWidth="1"/>
    <col min="1284" max="1284" width="17" style="465" customWidth="1"/>
    <col min="1285" max="1285" width="19" style="465" customWidth="1"/>
    <col min="1286" max="1286" width="16.5703125" style="465" bestFit="1" customWidth="1"/>
    <col min="1287" max="1287" width="16" style="465" customWidth="1"/>
    <col min="1288" max="1288" width="17.7109375" style="465" customWidth="1"/>
    <col min="1289" max="1289" width="17.140625" style="465" customWidth="1"/>
    <col min="1290" max="1290" width="18.7109375" style="465" customWidth="1"/>
    <col min="1291" max="1291" width="18.85546875" style="465" bestFit="1" customWidth="1"/>
    <col min="1292" max="1292" width="14.140625" style="465" customWidth="1"/>
    <col min="1293" max="1293" width="15.5703125" style="465" bestFit="1" customWidth="1"/>
    <col min="1294" max="1294" width="10.140625" style="465" customWidth="1"/>
    <col min="1295" max="1295" width="16.5703125" style="465" bestFit="1" customWidth="1"/>
    <col min="1296" max="1533" width="10.140625" style="465"/>
    <col min="1534" max="1534" width="10.140625" style="465" customWidth="1"/>
    <col min="1535" max="1535" width="27.5703125" style="465" customWidth="1"/>
    <col min="1536" max="1536" width="10.140625" style="465" customWidth="1"/>
    <col min="1537" max="1537" width="35.28515625" style="465" customWidth="1"/>
    <col min="1538" max="1538" width="15.42578125" style="465" customWidth="1"/>
    <col min="1539" max="1539" width="15" style="465" customWidth="1"/>
    <col min="1540" max="1540" width="17" style="465" customWidth="1"/>
    <col min="1541" max="1541" width="19" style="465" customWidth="1"/>
    <col min="1542" max="1542" width="16.5703125" style="465" bestFit="1" customWidth="1"/>
    <col min="1543" max="1543" width="16" style="465" customWidth="1"/>
    <col min="1544" max="1544" width="17.7109375" style="465" customWidth="1"/>
    <col min="1545" max="1545" width="17.140625" style="465" customWidth="1"/>
    <col min="1546" max="1546" width="18.7109375" style="465" customWidth="1"/>
    <col min="1547" max="1547" width="18.85546875" style="465" bestFit="1" customWidth="1"/>
    <col min="1548" max="1548" width="14.140625" style="465" customWidth="1"/>
    <col min="1549" max="1549" width="15.5703125" style="465" bestFit="1" customWidth="1"/>
    <col min="1550" max="1550" width="10.140625" style="465" customWidth="1"/>
    <col min="1551" max="1551" width="16.5703125" style="465" bestFit="1" customWidth="1"/>
    <col min="1552" max="1789" width="10.140625" style="465"/>
    <col min="1790" max="1790" width="10.140625" style="465" customWidth="1"/>
    <col min="1791" max="1791" width="27.5703125" style="465" customWidth="1"/>
    <col min="1792" max="1792" width="10.140625" style="465" customWidth="1"/>
    <col min="1793" max="1793" width="35.28515625" style="465" customWidth="1"/>
    <col min="1794" max="1794" width="15.42578125" style="465" customWidth="1"/>
    <col min="1795" max="1795" width="15" style="465" customWidth="1"/>
    <col min="1796" max="1796" width="17" style="465" customWidth="1"/>
    <col min="1797" max="1797" width="19" style="465" customWidth="1"/>
    <col min="1798" max="1798" width="16.5703125" style="465" bestFit="1" customWidth="1"/>
    <col min="1799" max="1799" width="16" style="465" customWidth="1"/>
    <col min="1800" max="1800" width="17.7109375" style="465" customWidth="1"/>
    <col min="1801" max="1801" width="17.140625" style="465" customWidth="1"/>
    <col min="1802" max="1802" width="18.7109375" style="465" customWidth="1"/>
    <col min="1803" max="1803" width="18.85546875" style="465" bestFit="1" customWidth="1"/>
    <col min="1804" max="1804" width="14.140625" style="465" customWidth="1"/>
    <col min="1805" max="1805" width="15.5703125" style="465" bestFit="1" customWidth="1"/>
    <col min="1806" max="1806" width="10.140625" style="465" customWidth="1"/>
    <col min="1807" max="1807" width="16.5703125" style="465" bestFit="1" customWidth="1"/>
    <col min="1808" max="2045" width="10.140625" style="465"/>
    <col min="2046" max="2046" width="10.140625" style="465" customWidth="1"/>
    <col min="2047" max="2047" width="27.5703125" style="465" customWidth="1"/>
    <col min="2048" max="2048" width="10.140625" style="465" customWidth="1"/>
    <col min="2049" max="2049" width="35.28515625" style="465" customWidth="1"/>
    <col min="2050" max="2050" width="15.42578125" style="465" customWidth="1"/>
    <col min="2051" max="2051" width="15" style="465" customWidth="1"/>
    <col min="2052" max="2052" width="17" style="465" customWidth="1"/>
    <col min="2053" max="2053" width="19" style="465" customWidth="1"/>
    <col min="2054" max="2054" width="16.5703125" style="465" bestFit="1" customWidth="1"/>
    <col min="2055" max="2055" width="16" style="465" customWidth="1"/>
    <col min="2056" max="2056" width="17.7109375" style="465" customWidth="1"/>
    <col min="2057" max="2057" width="17.140625" style="465" customWidth="1"/>
    <col min="2058" max="2058" width="18.7109375" style="465" customWidth="1"/>
    <col min="2059" max="2059" width="18.85546875" style="465" bestFit="1" customWidth="1"/>
    <col min="2060" max="2060" width="14.140625" style="465" customWidth="1"/>
    <col min="2061" max="2061" width="15.5703125" style="465" bestFit="1" customWidth="1"/>
    <col min="2062" max="2062" width="10.140625" style="465" customWidth="1"/>
    <col min="2063" max="2063" width="16.5703125" style="465" bestFit="1" customWidth="1"/>
    <col min="2064" max="2301" width="10.140625" style="465"/>
    <col min="2302" max="2302" width="10.140625" style="465" customWidth="1"/>
    <col min="2303" max="2303" width="27.5703125" style="465" customWidth="1"/>
    <col min="2304" max="2304" width="10.140625" style="465" customWidth="1"/>
    <col min="2305" max="2305" width="35.28515625" style="465" customWidth="1"/>
    <col min="2306" max="2306" width="15.42578125" style="465" customWidth="1"/>
    <col min="2307" max="2307" width="15" style="465" customWidth="1"/>
    <col min="2308" max="2308" width="17" style="465" customWidth="1"/>
    <col min="2309" max="2309" width="19" style="465" customWidth="1"/>
    <col min="2310" max="2310" width="16.5703125" style="465" bestFit="1" customWidth="1"/>
    <col min="2311" max="2311" width="16" style="465" customWidth="1"/>
    <col min="2312" max="2312" width="17.7109375" style="465" customWidth="1"/>
    <col min="2313" max="2313" width="17.140625" style="465" customWidth="1"/>
    <col min="2314" max="2314" width="18.7109375" style="465" customWidth="1"/>
    <col min="2315" max="2315" width="18.85546875" style="465" bestFit="1" customWidth="1"/>
    <col min="2316" max="2316" width="14.140625" style="465" customWidth="1"/>
    <col min="2317" max="2317" width="15.5703125" style="465" bestFit="1" customWidth="1"/>
    <col min="2318" max="2318" width="10.140625" style="465" customWidth="1"/>
    <col min="2319" max="2319" width="16.5703125" style="465" bestFit="1" customWidth="1"/>
    <col min="2320" max="2557" width="10.140625" style="465"/>
    <col min="2558" max="2558" width="10.140625" style="465" customWidth="1"/>
    <col min="2559" max="2559" width="27.5703125" style="465" customWidth="1"/>
    <col min="2560" max="2560" width="10.140625" style="465" customWidth="1"/>
    <col min="2561" max="2561" width="35.28515625" style="465" customWidth="1"/>
    <col min="2562" max="2562" width="15.42578125" style="465" customWidth="1"/>
    <col min="2563" max="2563" width="15" style="465" customWidth="1"/>
    <col min="2564" max="2564" width="17" style="465" customWidth="1"/>
    <col min="2565" max="2565" width="19" style="465" customWidth="1"/>
    <col min="2566" max="2566" width="16.5703125" style="465" bestFit="1" customWidth="1"/>
    <col min="2567" max="2567" width="16" style="465" customWidth="1"/>
    <col min="2568" max="2568" width="17.7109375" style="465" customWidth="1"/>
    <col min="2569" max="2569" width="17.140625" style="465" customWidth="1"/>
    <col min="2570" max="2570" width="18.7109375" style="465" customWidth="1"/>
    <col min="2571" max="2571" width="18.85546875" style="465" bestFit="1" customWidth="1"/>
    <col min="2572" max="2572" width="14.140625" style="465" customWidth="1"/>
    <col min="2573" max="2573" width="15.5703125" style="465" bestFit="1" customWidth="1"/>
    <col min="2574" max="2574" width="10.140625" style="465" customWidth="1"/>
    <col min="2575" max="2575" width="16.5703125" style="465" bestFit="1" customWidth="1"/>
    <col min="2576" max="2813" width="10.140625" style="465"/>
    <col min="2814" max="2814" width="10.140625" style="465" customWidth="1"/>
    <col min="2815" max="2815" width="27.5703125" style="465" customWidth="1"/>
    <col min="2816" max="2816" width="10.140625" style="465" customWidth="1"/>
    <col min="2817" max="2817" width="35.28515625" style="465" customWidth="1"/>
    <col min="2818" max="2818" width="15.42578125" style="465" customWidth="1"/>
    <col min="2819" max="2819" width="15" style="465" customWidth="1"/>
    <col min="2820" max="2820" width="17" style="465" customWidth="1"/>
    <col min="2821" max="2821" width="19" style="465" customWidth="1"/>
    <col min="2822" max="2822" width="16.5703125" style="465" bestFit="1" customWidth="1"/>
    <col min="2823" max="2823" width="16" style="465" customWidth="1"/>
    <col min="2824" max="2824" width="17.7109375" style="465" customWidth="1"/>
    <col min="2825" max="2825" width="17.140625" style="465" customWidth="1"/>
    <col min="2826" max="2826" width="18.7109375" style="465" customWidth="1"/>
    <col min="2827" max="2827" width="18.85546875" style="465" bestFit="1" customWidth="1"/>
    <col min="2828" max="2828" width="14.140625" style="465" customWidth="1"/>
    <col min="2829" max="2829" width="15.5703125" style="465" bestFit="1" customWidth="1"/>
    <col min="2830" max="2830" width="10.140625" style="465" customWidth="1"/>
    <col min="2831" max="2831" width="16.5703125" style="465" bestFit="1" customWidth="1"/>
    <col min="2832" max="3069" width="10.140625" style="465"/>
    <col min="3070" max="3070" width="10.140625" style="465" customWidth="1"/>
    <col min="3071" max="3071" width="27.5703125" style="465" customWidth="1"/>
    <col min="3072" max="3072" width="10.140625" style="465" customWidth="1"/>
    <col min="3073" max="3073" width="35.28515625" style="465" customWidth="1"/>
    <col min="3074" max="3074" width="15.42578125" style="465" customWidth="1"/>
    <col min="3075" max="3075" width="15" style="465" customWidth="1"/>
    <col min="3076" max="3076" width="17" style="465" customWidth="1"/>
    <col min="3077" max="3077" width="19" style="465" customWidth="1"/>
    <col min="3078" max="3078" width="16.5703125" style="465" bestFit="1" customWidth="1"/>
    <col min="3079" max="3079" width="16" style="465" customWidth="1"/>
    <col min="3080" max="3080" width="17.7109375" style="465" customWidth="1"/>
    <col min="3081" max="3081" width="17.140625" style="465" customWidth="1"/>
    <col min="3082" max="3082" width="18.7109375" style="465" customWidth="1"/>
    <col min="3083" max="3083" width="18.85546875" style="465" bestFit="1" customWidth="1"/>
    <col min="3084" max="3084" width="14.140625" style="465" customWidth="1"/>
    <col min="3085" max="3085" width="15.5703125" style="465" bestFit="1" customWidth="1"/>
    <col min="3086" max="3086" width="10.140625" style="465" customWidth="1"/>
    <col min="3087" max="3087" width="16.5703125" style="465" bestFit="1" customWidth="1"/>
    <col min="3088" max="3325" width="10.140625" style="465"/>
    <col min="3326" max="3326" width="10.140625" style="465" customWidth="1"/>
    <col min="3327" max="3327" width="27.5703125" style="465" customWidth="1"/>
    <col min="3328" max="3328" width="10.140625" style="465" customWidth="1"/>
    <col min="3329" max="3329" width="35.28515625" style="465" customWidth="1"/>
    <col min="3330" max="3330" width="15.42578125" style="465" customWidth="1"/>
    <col min="3331" max="3331" width="15" style="465" customWidth="1"/>
    <col min="3332" max="3332" width="17" style="465" customWidth="1"/>
    <col min="3333" max="3333" width="19" style="465" customWidth="1"/>
    <col min="3334" max="3334" width="16.5703125" style="465" bestFit="1" customWidth="1"/>
    <col min="3335" max="3335" width="16" style="465" customWidth="1"/>
    <col min="3336" max="3336" width="17.7109375" style="465" customWidth="1"/>
    <col min="3337" max="3337" width="17.140625" style="465" customWidth="1"/>
    <col min="3338" max="3338" width="18.7109375" style="465" customWidth="1"/>
    <col min="3339" max="3339" width="18.85546875" style="465" bestFit="1" customWidth="1"/>
    <col min="3340" max="3340" width="14.140625" style="465" customWidth="1"/>
    <col min="3341" max="3341" width="15.5703125" style="465" bestFit="1" customWidth="1"/>
    <col min="3342" max="3342" width="10.140625" style="465" customWidth="1"/>
    <col min="3343" max="3343" width="16.5703125" style="465" bestFit="1" customWidth="1"/>
    <col min="3344" max="3581" width="10.140625" style="465"/>
    <col min="3582" max="3582" width="10.140625" style="465" customWidth="1"/>
    <col min="3583" max="3583" width="27.5703125" style="465" customWidth="1"/>
    <col min="3584" max="3584" width="10.140625" style="465" customWidth="1"/>
    <col min="3585" max="3585" width="35.28515625" style="465" customWidth="1"/>
    <col min="3586" max="3586" width="15.42578125" style="465" customWidth="1"/>
    <col min="3587" max="3587" width="15" style="465" customWidth="1"/>
    <col min="3588" max="3588" width="17" style="465" customWidth="1"/>
    <col min="3589" max="3589" width="19" style="465" customWidth="1"/>
    <col min="3590" max="3590" width="16.5703125" style="465" bestFit="1" customWidth="1"/>
    <col min="3591" max="3591" width="16" style="465" customWidth="1"/>
    <col min="3592" max="3592" width="17.7109375" style="465" customWidth="1"/>
    <col min="3593" max="3593" width="17.140625" style="465" customWidth="1"/>
    <col min="3594" max="3594" width="18.7109375" style="465" customWidth="1"/>
    <col min="3595" max="3595" width="18.85546875" style="465" bestFit="1" customWidth="1"/>
    <col min="3596" max="3596" width="14.140625" style="465" customWidth="1"/>
    <col min="3597" max="3597" width="15.5703125" style="465" bestFit="1" customWidth="1"/>
    <col min="3598" max="3598" width="10.140625" style="465" customWidth="1"/>
    <col min="3599" max="3599" width="16.5703125" style="465" bestFit="1" customWidth="1"/>
    <col min="3600" max="3837" width="10.140625" style="465"/>
    <col min="3838" max="3838" width="10.140625" style="465" customWidth="1"/>
    <col min="3839" max="3839" width="27.5703125" style="465" customWidth="1"/>
    <col min="3840" max="3840" width="10.140625" style="465" customWidth="1"/>
    <col min="3841" max="3841" width="35.28515625" style="465" customWidth="1"/>
    <col min="3842" max="3842" width="15.42578125" style="465" customWidth="1"/>
    <col min="3843" max="3843" width="15" style="465" customWidth="1"/>
    <col min="3844" max="3844" width="17" style="465" customWidth="1"/>
    <col min="3845" max="3845" width="19" style="465" customWidth="1"/>
    <col min="3846" max="3846" width="16.5703125" style="465" bestFit="1" customWidth="1"/>
    <col min="3847" max="3847" width="16" style="465" customWidth="1"/>
    <col min="3848" max="3848" width="17.7109375" style="465" customWidth="1"/>
    <col min="3849" max="3849" width="17.140625" style="465" customWidth="1"/>
    <col min="3850" max="3850" width="18.7109375" style="465" customWidth="1"/>
    <col min="3851" max="3851" width="18.85546875" style="465" bestFit="1" customWidth="1"/>
    <col min="3852" max="3852" width="14.140625" style="465" customWidth="1"/>
    <col min="3853" max="3853" width="15.5703125" style="465" bestFit="1" customWidth="1"/>
    <col min="3854" max="3854" width="10.140625" style="465" customWidth="1"/>
    <col min="3855" max="3855" width="16.5703125" style="465" bestFit="1" customWidth="1"/>
    <col min="3856" max="4093" width="10.140625" style="465"/>
    <col min="4094" max="4094" width="10.140625" style="465" customWidth="1"/>
    <col min="4095" max="4095" width="27.5703125" style="465" customWidth="1"/>
    <col min="4096" max="4096" width="10.140625" style="465" customWidth="1"/>
    <col min="4097" max="4097" width="35.28515625" style="465" customWidth="1"/>
    <col min="4098" max="4098" width="15.42578125" style="465" customWidth="1"/>
    <col min="4099" max="4099" width="15" style="465" customWidth="1"/>
    <col min="4100" max="4100" width="17" style="465" customWidth="1"/>
    <col min="4101" max="4101" width="19" style="465" customWidth="1"/>
    <col min="4102" max="4102" width="16.5703125" style="465" bestFit="1" customWidth="1"/>
    <col min="4103" max="4103" width="16" style="465" customWidth="1"/>
    <col min="4104" max="4104" width="17.7109375" style="465" customWidth="1"/>
    <col min="4105" max="4105" width="17.140625" style="465" customWidth="1"/>
    <col min="4106" max="4106" width="18.7109375" style="465" customWidth="1"/>
    <col min="4107" max="4107" width="18.85546875" style="465" bestFit="1" customWidth="1"/>
    <col min="4108" max="4108" width="14.140625" style="465" customWidth="1"/>
    <col min="4109" max="4109" width="15.5703125" style="465" bestFit="1" customWidth="1"/>
    <col min="4110" max="4110" width="10.140625" style="465" customWidth="1"/>
    <col min="4111" max="4111" width="16.5703125" style="465" bestFit="1" customWidth="1"/>
    <col min="4112" max="4349" width="10.140625" style="465"/>
    <col min="4350" max="4350" width="10.140625" style="465" customWidth="1"/>
    <col min="4351" max="4351" width="27.5703125" style="465" customWidth="1"/>
    <col min="4352" max="4352" width="10.140625" style="465" customWidth="1"/>
    <col min="4353" max="4353" width="35.28515625" style="465" customWidth="1"/>
    <col min="4354" max="4354" width="15.42578125" style="465" customWidth="1"/>
    <col min="4355" max="4355" width="15" style="465" customWidth="1"/>
    <col min="4356" max="4356" width="17" style="465" customWidth="1"/>
    <col min="4357" max="4357" width="19" style="465" customWidth="1"/>
    <col min="4358" max="4358" width="16.5703125" style="465" bestFit="1" customWidth="1"/>
    <col min="4359" max="4359" width="16" style="465" customWidth="1"/>
    <col min="4360" max="4360" width="17.7109375" style="465" customWidth="1"/>
    <col min="4361" max="4361" width="17.140625" style="465" customWidth="1"/>
    <col min="4362" max="4362" width="18.7109375" style="465" customWidth="1"/>
    <col min="4363" max="4363" width="18.85546875" style="465" bestFit="1" customWidth="1"/>
    <col min="4364" max="4364" width="14.140625" style="465" customWidth="1"/>
    <col min="4365" max="4365" width="15.5703125" style="465" bestFit="1" customWidth="1"/>
    <col min="4366" max="4366" width="10.140625" style="465" customWidth="1"/>
    <col min="4367" max="4367" width="16.5703125" style="465" bestFit="1" customWidth="1"/>
    <col min="4368" max="4605" width="10.140625" style="465"/>
    <col min="4606" max="4606" width="10.140625" style="465" customWidth="1"/>
    <col min="4607" max="4607" width="27.5703125" style="465" customWidth="1"/>
    <col min="4608" max="4608" width="10.140625" style="465" customWidth="1"/>
    <col min="4609" max="4609" width="35.28515625" style="465" customWidth="1"/>
    <col min="4610" max="4610" width="15.42578125" style="465" customWidth="1"/>
    <col min="4611" max="4611" width="15" style="465" customWidth="1"/>
    <col min="4612" max="4612" width="17" style="465" customWidth="1"/>
    <col min="4613" max="4613" width="19" style="465" customWidth="1"/>
    <col min="4614" max="4614" width="16.5703125" style="465" bestFit="1" customWidth="1"/>
    <col min="4615" max="4615" width="16" style="465" customWidth="1"/>
    <col min="4616" max="4616" width="17.7109375" style="465" customWidth="1"/>
    <col min="4617" max="4617" width="17.140625" style="465" customWidth="1"/>
    <col min="4618" max="4618" width="18.7109375" style="465" customWidth="1"/>
    <col min="4619" max="4619" width="18.85546875" style="465" bestFit="1" customWidth="1"/>
    <col min="4620" max="4620" width="14.140625" style="465" customWidth="1"/>
    <col min="4621" max="4621" width="15.5703125" style="465" bestFit="1" customWidth="1"/>
    <col min="4622" max="4622" width="10.140625" style="465" customWidth="1"/>
    <col min="4623" max="4623" width="16.5703125" style="465" bestFit="1" customWidth="1"/>
    <col min="4624" max="4861" width="10.140625" style="465"/>
    <col min="4862" max="4862" width="10.140625" style="465" customWidth="1"/>
    <col min="4863" max="4863" width="27.5703125" style="465" customWidth="1"/>
    <col min="4864" max="4864" width="10.140625" style="465" customWidth="1"/>
    <col min="4865" max="4865" width="35.28515625" style="465" customWidth="1"/>
    <col min="4866" max="4866" width="15.42578125" style="465" customWidth="1"/>
    <col min="4867" max="4867" width="15" style="465" customWidth="1"/>
    <col min="4868" max="4868" width="17" style="465" customWidth="1"/>
    <col min="4869" max="4869" width="19" style="465" customWidth="1"/>
    <col min="4870" max="4870" width="16.5703125" style="465" bestFit="1" customWidth="1"/>
    <col min="4871" max="4871" width="16" style="465" customWidth="1"/>
    <col min="4872" max="4872" width="17.7109375" style="465" customWidth="1"/>
    <col min="4873" max="4873" width="17.140625" style="465" customWidth="1"/>
    <col min="4874" max="4874" width="18.7109375" style="465" customWidth="1"/>
    <col min="4875" max="4875" width="18.85546875" style="465" bestFit="1" customWidth="1"/>
    <col min="4876" max="4876" width="14.140625" style="465" customWidth="1"/>
    <col min="4877" max="4877" width="15.5703125" style="465" bestFit="1" customWidth="1"/>
    <col min="4878" max="4878" width="10.140625" style="465" customWidth="1"/>
    <col min="4879" max="4879" width="16.5703125" style="465" bestFit="1" customWidth="1"/>
    <col min="4880" max="5117" width="10.140625" style="465"/>
    <col min="5118" max="5118" width="10.140625" style="465" customWidth="1"/>
    <col min="5119" max="5119" width="27.5703125" style="465" customWidth="1"/>
    <col min="5120" max="5120" width="10.140625" style="465" customWidth="1"/>
    <col min="5121" max="5121" width="35.28515625" style="465" customWidth="1"/>
    <col min="5122" max="5122" width="15.42578125" style="465" customWidth="1"/>
    <col min="5123" max="5123" width="15" style="465" customWidth="1"/>
    <col min="5124" max="5124" width="17" style="465" customWidth="1"/>
    <col min="5125" max="5125" width="19" style="465" customWidth="1"/>
    <col min="5126" max="5126" width="16.5703125" style="465" bestFit="1" customWidth="1"/>
    <col min="5127" max="5127" width="16" style="465" customWidth="1"/>
    <col min="5128" max="5128" width="17.7109375" style="465" customWidth="1"/>
    <col min="5129" max="5129" width="17.140625" style="465" customWidth="1"/>
    <col min="5130" max="5130" width="18.7109375" style="465" customWidth="1"/>
    <col min="5131" max="5131" width="18.85546875" style="465" bestFit="1" customWidth="1"/>
    <col min="5132" max="5132" width="14.140625" style="465" customWidth="1"/>
    <col min="5133" max="5133" width="15.5703125" style="465" bestFit="1" customWidth="1"/>
    <col min="5134" max="5134" width="10.140625" style="465" customWidth="1"/>
    <col min="5135" max="5135" width="16.5703125" style="465" bestFit="1" customWidth="1"/>
    <col min="5136" max="5373" width="10.140625" style="465"/>
    <col min="5374" max="5374" width="10.140625" style="465" customWidth="1"/>
    <col min="5375" max="5375" width="27.5703125" style="465" customWidth="1"/>
    <col min="5376" max="5376" width="10.140625" style="465" customWidth="1"/>
    <col min="5377" max="5377" width="35.28515625" style="465" customWidth="1"/>
    <col min="5378" max="5378" width="15.42578125" style="465" customWidth="1"/>
    <col min="5379" max="5379" width="15" style="465" customWidth="1"/>
    <col min="5380" max="5380" width="17" style="465" customWidth="1"/>
    <col min="5381" max="5381" width="19" style="465" customWidth="1"/>
    <col min="5382" max="5382" width="16.5703125" style="465" bestFit="1" customWidth="1"/>
    <col min="5383" max="5383" width="16" style="465" customWidth="1"/>
    <col min="5384" max="5384" width="17.7109375" style="465" customWidth="1"/>
    <col min="5385" max="5385" width="17.140625" style="465" customWidth="1"/>
    <col min="5386" max="5386" width="18.7109375" style="465" customWidth="1"/>
    <col min="5387" max="5387" width="18.85546875" style="465" bestFit="1" customWidth="1"/>
    <col min="5388" max="5388" width="14.140625" style="465" customWidth="1"/>
    <col min="5389" max="5389" width="15.5703125" style="465" bestFit="1" customWidth="1"/>
    <col min="5390" max="5390" width="10.140625" style="465" customWidth="1"/>
    <col min="5391" max="5391" width="16.5703125" style="465" bestFit="1" customWidth="1"/>
    <col min="5392" max="5629" width="10.140625" style="465"/>
    <col min="5630" max="5630" width="10.140625" style="465" customWidth="1"/>
    <col min="5631" max="5631" width="27.5703125" style="465" customWidth="1"/>
    <col min="5632" max="5632" width="10.140625" style="465" customWidth="1"/>
    <col min="5633" max="5633" width="35.28515625" style="465" customWidth="1"/>
    <col min="5634" max="5634" width="15.42578125" style="465" customWidth="1"/>
    <col min="5635" max="5635" width="15" style="465" customWidth="1"/>
    <col min="5636" max="5636" width="17" style="465" customWidth="1"/>
    <col min="5637" max="5637" width="19" style="465" customWidth="1"/>
    <col min="5638" max="5638" width="16.5703125" style="465" bestFit="1" customWidth="1"/>
    <col min="5639" max="5639" width="16" style="465" customWidth="1"/>
    <col min="5640" max="5640" width="17.7109375" style="465" customWidth="1"/>
    <col min="5641" max="5641" width="17.140625" style="465" customWidth="1"/>
    <col min="5642" max="5642" width="18.7109375" style="465" customWidth="1"/>
    <col min="5643" max="5643" width="18.85546875" style="465" bestFit="1" customWidth="1"/>
    <col min="5644" max="5644" width="14.140625" style="465" customWidth="1"/>
    <col min="5645" max="5645" width="15.5703125" style="465" bestFit="1" customWidth="1"/>
    <col min="5646" max="5646" width="10.140625" style="465" customWidth="1"/>
    <col min="5647" max="5647" width="16.5703125" style="465" bestFit="1" customWidth="1"/>
    <col min="5648" max="5885" width="10.140625" style="465"/>
    <col min="5886" max="5886" width="10.140625" style="465" customWidth="1"/>
    <col min="5887" max="5887" width="27.5703125" style="465" customWidth="1"/>
    <col min="5888" max="5888" width="10.140625" style="465" customWidth="1"/>
    <col min="5889" max="5889" width="35.28515625" style="465" customWidth="1"/>
    <col min="5890" max="5890" width="15.42578125" style="465" customWidth="1"/>
    <col min="5891" max="5891" width="15" style="465" customWidth="1"/>
    <col min="5892" max="5892" width="17" style="465" customWidth="1"/>
    <col min="5893" max="5893" width="19" style="465" customWidth="1"/>
    <col min="5894" max="5894" width="16.5703125" style="465" bestFit="1" customWidth="1"/>
    <col min="5895" max="5895" width="16" style="465" customWidth="1"/>
    <col min="5896" max="5896" width="17.7109375" style="465" customWidth="1"/>
    <col min="5897" max="5897" width="17.140625" style="465" customWidth="1"/>
    <col min="5898" max="5898" width="18.7109375" style="465" customWidth="1"/>
    <col min="5899" max="5899" width="18.85546875" style="465" bestFit="1" customWidth="1"/>
    <col min="5900" max="5900" width="14.140625" style="465" customWidth="1"/>
    <col min="5901" max="5901" width="15.5703125" style="465" bestFit="1" customWidth="1"/>
    <col min="5902" max="5902" width="10.140625" style="465" customWidth="1"/>
    <col min="5903" max="5903" width="16.5703125" style="465" bestFit="1" customWidth="1"/>
    <col min="5904" max="6141" width="10.140625" style="465"/>
    <col min="6142" max="6142" width="10.140625" style="465" customWidth="1"/>
    <col min="6143" max="6143" width="27.5703125" style="465" customWidth="1"/>
    <col min="6144" max="6144" width="10.140625" style="465" customWidth="1"/>
    <col min="6145" max="6145" width="35.28515625" style="465" customWidth="1"/>
    <col min="6146" max="6146" width="15.42578125" style="465" customWidth="1"/>
    <col min="6147" max="6147" width="15" style="465" customWidth="1"/>
    <col min="6148" max="6148" width="17" style="465" customWidth="1"/>
    <col min="6149" max="6149" width="19" style="465" customWidth="1"/>
    <col min="6150" max="6150" width="16.5703125" style="465" bestFit="1" customWidth="1"/>
    <col min="6151" max="6151" width="16" style="465" customWidth="1"/>
    <col min="6152" max="6152" width="17.7109375" style="465" customWidth="1"/>
    <col min="6153" max="6153" width="17.140625" style="465" customWidth="1"/>
    <col min="6154" max="6154" width="18.7109375" style="465" customWidth="1"/>
    <col min="6155" max="6155" width="18.85546875" style="465" bestFit="1" customWidth="1"/>
    <col min="6156" max="6156" width="14.140625" style="465" customWidth="1"/>
    <col min="6157" max="6157" width="15.5703125" style="465" bestFit="1" customWidth="1"/>
    <col min="6158" max="6158" width="10.140625" style="465" customWidth="1"/>
    <col min="6159" max="6159" width="16.5703125" style="465" bestFit="1" customWidth="1"/>
    <col min="6160" max="6397" width="10.140625" style="465"/>
    <col min="6398" max="6398" width="10.140625" style="465" customWidth="1"/>
    <col min="6399" max="6399" width="27.5703125" style="465" customWidth="1"/>
    <col min="6400" max="6400" width="10.140625" style="465" customWidth="1"/>
    <col min="6401" max="6401" width="35.28515625" style="465" customWidth="1"/>
    <col min="6402" max="6402" width="15.42578125" style="465" customWidth="1"/>
    <col min="6403" max="6403" width="15" style="465" customWidth="1"/>
    <col min="6404" max="6404" width="17" style="465" customWidth="1"/>
    <col min="6405" max="6405" width="19" style="465" customWidth="1"/>
    <col min="6406" max="6406" width="16.5703125" style="465" bestFit="1" customWidth="1"/>
    <col min="6407" max="6407" width="16" style="465" customWidth="1"/>
    <col min="6408" max="6408" width="17.7109375" style="465" customWidth="1"/>
    <col min="6409" max="6409" width="17.140625" style="465" customWidth="1"/>
    <col min="6410" max="6410" width="18.7109375" style="465" customWidth="1"/>
    <col min="6411" max="6411" width="18.85546875" style="465" bestFit="1" customWidth="1"/>
    <col min="6412" max="6412" width="14.140625" style="465" customWidth="1"/>
    <col min="6413" max="6413" width="15.5703125" style="465" bestFit="1" customWidth="1"/>
    <col min="6414" max="6414" width="10.140625" style="465" customWidth="1"/>
    <col min="6415" max="6415" width="16.5703125" style="465" bestFit="1" customWidth="1"/>
    <col min="6416" max="6653" width="10.140625" style="465"/>
    <col min="6654" max="6654" width="10.140625" style="465" customWidth="1"/>
    <col min="6655" max="6655" width="27.5703125" style="465" customWidth="1"/>
    <col min="6656" max="6656" width="10.140625" style="465" customWidth="1"/>
    <col min="6657" max="6657" width="35.28515625" style="465" customWidth="1"/>
    <col min="6658" max="6658" width="15.42578125" style="465" customWidth="1"/>
    <col min="6659" max="6659" width="15" style="465" customWidth="1"/>
    <col min="6660" max="6660" width="17" style="465" customWidth="1"/>
    <col min="6661" max="6661" width="19" style="465" customWidth="1"/>
    <col min="6662" max="6662" width="16.5703125" style="465" bestFit="1" customWidth="1"/>
    <col min="6663" max="6663" width="16" style="465" customWidth="1"/>
    <col min="6664" max="6664" width="17.7109375" style="465" customWidth="1"/>
    <col min="6665" max="6665" width="17.140625" style="465" customWidth="1"/>
    <col min="6666" max="6666" width="18.7109375" style="465" customWidth="1"/>
    <col min="6667" max="6667" width="18.85546875" style="465" bestFit="1" customWidth="1"/>
    <col min="6668" max="6668" width="14.140625" style="465" customWidth="1"/>
    <col min="6669" max="6669" width="15.5703125" style="465" bestFit="1" customWidth="1"/>
    <col min="6670" max="6670" width="10.140625" style="465" customWidth="1"/>
    <col min="6671" max="6671" width="16.5703125" style="465" bestFit="1" customWidth="1"/>
    <col min="6672" max="6909" width="10.140625" style="465"/>
    <col min="6910" max="6910" width="10.140625" style="465" customWidth="1"/>
    <col min="6911" max="6911" width="27.5703125" style="465" customWidth="1"/>
    <col min="6912" max="6912" width="10.140625" style="465" customWidth="1"/>
    <col min="6913" max="6913" width="35.28515625" style="465" customWidth="1"/>
    <col min="6914" max="6914" width="15.42578125" style="465" customWidth="1"/>
    <col min="6915" max="6915" width="15" style="465" customWidth="1"/>
    <col min="6916" max="6916" width="17" style="465" customWidth="1"/>
    <col min="6917" max="6917" width="19" style="465" customWidth="1"/>
    <col min="6918" max="6918" width="16.5703125" style="465" bestFit="1" customWidth="1"/>
    <col min="6919" max="6919" width="16" style="465" customWidth="1"/>
    <col min="6920" max="6920" width="17.7109375" style="465" customWidth="1"/>
    <col min="6921" max="6921" width="17.140625" style="465" customWidth="1"/>
    <col min="6922" max="6922" width="18.7109375" style="465" customWidth="1"/>
    <col min="6923" max="6923" width="18.85546875" style="465" bestFit="1" customWidth="1"/>
    <col min="6924" max="6924" width="14.140625" style="465" customWidth="1"/>
    <col min="6925" max="6925" width="15.5703125" style="465" bestFit="1" customWidth="1"/>
    <col min="6926" max="6926" width="10.140625" style="465" customWidth="1"/>
    <col min="6927" max="6927" width="16.5703125" style="465" bestFit="1" customWidth="1"/>
    <col min="6928" max="7165" width="10.140625" style="465"/>
    <col min="7166" max="7166" width="10.140625" style="465" customWidth="1"/>
    <col min="7167" max="7167" width="27.5703125" style="465" customWidth="1"/>
    <col min="7168" max="7168" width="10.140625" style="465" customWidth="1"/>
    <col min="7169" max="7169" width="35.28515625" style="465" customWidth="1"/>
    <col min="7170" max="7170" width="15.42578125" style="465" customWidth="1"/>
    <col min="7171" max="7171" width="15" style="465" customWidth="1"/>
    <col min="7172" max="7172" width="17" style="465" customWidth="1"/>
    <col min="7173" max="7173" width="19" style="465" customWidth="1"/>
    <col min="7174" max="7174" width="16.5703125" style="465" bestFit="1" customWidth="1"/>
    <col min="7175" max="7175" width="16" style="465" customWidth="1"/>
    <col min="7176" max="7176" width="17.7109375" style="465" customWidth="1"/>
    <col min="7177" max="7177" width="17.140625" style="465" customWidth="1"/>
    <col min="7178" max="7178" width="18.7109375" style="465" customWidth="1"/>
    <col min="7179" max="7179" width="18.85546875" style="465" bestFit="1" customWidth="1"/>
    <col min="7180" max="7180" width="14.140625" style="465" customWidth="1"/>
    <col min="7181" max="7181" width="15.5703125" style="465" bestFit="1" customWidth="1"/>
    <col min="7182" max="7182" width="10.140625" style="465" customWidth="1"/>
    <col min="7183" max="7183" width="16.5703125" style="465" bestFit="1" customWidth="1"/>
    <col min="7184" max="7421" width="10.140625" style="465"/>
    <col min="7422" max="7422" width="10.140625" style="465" customWidth="1"/>
    <col min="7423" max="7423" width="27.5703125" style="465" customWidth="1"/>
    <col min="7424" max="7424" width="10.140625" style="465" customWidth="1"/>
    <col min="7425" max="7425" width="35.28515625" style="465" customWidth="1"/>
    <col min="7426" max="7426" width="15.42578125" style="465" customWidth="1"/>
    <col min="7427" max="7427" width="15" style="465" customWidth="1"/>
    <col min="7428" max="7428" width="17" style="465" customWidth="1"/>
    <col min="7429" max="7429" width="19" style="465" customWidth="1"/>
    <col min="7430" max="7430" width="16.5703125" style="465" bestFit="1" customWidth="1"/>
    <col min="7431" max="7431" width="16" style="465" customWidth="1"/>
    <col min="7432" max="7432" width="17.7109375" style="465" customWidth="1"/>
    <col min="7433" max="7433" width="17.140625" style="465" customWidth="1"/>
    <col min="7434" max="7434" width="18.7109375" style="465" customWidth="1"/>
    <col min="7435" max="7435" width="18.85546875" style="465" bestFit="1" customWidth="1"/>
    <col min="7436" max="7436" width="14.140625" style="465" customWidth="1"/>
    <col min="7437" max="7437" width="15.5703125" style="465" bestFit="1" customWidth="1"/>
    <col min="7438" max="7438" width="10.140625" style="465" customWidth="1"/>
    <col min="7439" max="7439" width="16.5703125" style="465" bestFit="1" customWidth="1"/>
    <col min="7440" max="7677" width="10.140625" style="465"/>
    <col min="7678" max="7678" width="10.140625" style="465" customWidth="1"/>
    <col min="7679" max="7679" width="27.5703125" style="465" customWidth="1"/>
    <col min="7680" max="7680" width="10.140625" style="465" customWidth="1"/>
    <col min="7681" max="7681" width="35.28515625" style="465" customWidth="1"/>
    <col min="7682" max="7682" width="15.42578125" style="465" customWidth="1"/>
    <col min="7683" max="7683" width="15" style="465" customWidth="1"/>
    <col min="7684" max="7684" width="17" style="465" customWidth="1"/>
    <col min="7685" max="7685" width="19" style="465" customWidth="1"/>
    <col min="7686" max="7686" width="16.5703125" style="465" bestFit="1" customWidth="1"/>
    <col min="7687" max="7687" width="16" style="465" customWidth="1"/>
    <col min="7688" max="7688" width="17.7109375" style="465" customWidth="1"/>
    <col min="7689" max="7689" width="17.140625" style="465" customWidth="1"/>
    <col min="7690" max="7690" width="18.7109375" style="465" customWidth="1"/>
    <col min="7691" max="7691" width="18.85546875" style="465" bestFit="1" customWidth="1"/>
    <col min="7692" max="7692" width="14.140625" style="465" customWidth="1"/>
    <col min="7693" max="7693" width="15.5703125" style="465" bestFit="1" customWidth="1"/>
    <col min="7694" max="7694" width="10.140625" style="465" customWidth="1"/>
    <col min="7695" max="7695" width="16.5703125" style="465" bestFit="1" customWidth="1"/>
    <col min="7696" max="7933" width="10.140625" style="465"/>
    <col min="7934" max="7934" width="10.140625" style="465" customWidth="1"/>
    <col min="7935" max="7935" width="27.5703125" style="465" customWidth="1"/>
    <col min="7936" max="7936" width="10.140625" style="465" customWidth="1"/>
    <col min="7937" max="7937" width="35.28515625" style="465" customWidth="1"/>
    <col min="7938" max="7938" width="15.42578125" style="465" customWidth="1"/>
    <col min="7939" max="7939" width="15" style="465" customWidth="1"/>
    <col min="7940" max="7940" width="17" style="465" customWidth="1"/>
    <col min="7941" max="7941" width="19" style="465" customWidth="1"/>
    <col min="7942" max="7942" width="16.5703125" style="465" bestFit="1" customWidth="1"/>
    <col min="7943" max="7943" width="16" style="465" customWidth="1"/>
    <col min="7944" max="7944" width="17.7109375" style="465" customWidth="1"/>
    <col min="7945" max="7945" width="17.140625" style="465" customWidth="1"/>
    <col min="7946" max="7946" width="18.7109375" style="465" customWidth="1"/>
    <col min="7947" max="7947" width="18.85546875" style="465" bestFit="1" customWidth="1"/>
    <col min="7948" max="7948" width="14.140625" style="465" customWidth="1"/>
    <col min="7949" max="7949" width="15.5703125" style="465" bestFit="1" customWidth="1"/>
    <col min="7950" max="7950" width="10.140625" style="465" customWidth="1"/>
    <col min="7951" max="7951" width="16.5703125" style="465" bestFit="1" customWidth="1"/>
    <col min="7952" max="8189" width="10.140625" style="465"/>
    <col min="8190" max="8190" width="10.140625" style="465" customWidth="1"/>
    <col min="8191" max="8191" width="27.5703125" style="465" customWidth="1"/>
    <col min="8192" max="8192" width="10.140625" style="465" customWidth="1"/>
    <col min="8193" max="8193" width="35.28515625" style="465" customWidth="1"/>
    <col min="8194" max="8194" width="15.42578125" style="465" customWidth="1"/>
    <col min="8195" max="8195" width="15" style="465" customWidth="1"/>
    <col min="8196" max="8196" width="17" style="465" customWidth="1"/>
    <col min="8197" max="8197" width="19" style="465" customWidth="1"/>
    <col min="8198" max="8198" width="16.5703125" style="465" bestFit="1" customWidth="1"/>
    <col min="8199" max="8199" width="16" style="465" customWidth="1"/>
    <col min="8200" max="8200" width="17.7109375" style="465" customWidth="1"/>
    <col min="8201" max="8201" width="17.140625" style="465" customWidth="1"/>
    <col min="8202" max="8202" width="18.7109375" style="465" customWidth="1"/>
    <col min="8203" max="8203" width="18.85546875" style="465" bestFit="1" customWidth="1"/>
    <col min="8204" max="8204" width="14.140625" style="465" customWidth="1"/>
    <col min="8205" max="8205" width="15.5703125" style="465" bestFit="1" customWidth="1"/>
    <col min="8206" max="8206" width="10.140625" style="465" customWidth="1"/>
    <col min="8207" max="8207" width="16.5703125" style="465" bestFit="1" customWidth="1"/>
    <col min="8208" max="8445" width="10.140625" style="465"/>
    <col min="8446" max="8446" width="10.140625" style="465" customWidth="1"/>
    <col min="8447" max="8447" width="27.5703125" style="465" customWidth="1"/>
    <col min="8448" max="8448" width="10.140625" style="465" customWidth="1"/>
    <col min="8449" max="8449" width="35.28515625" style="465" customWidth="1"/>
    <col min="8450" max="8450" width="15.42578125" style="465" customWidth="1"/>
    <col min="8451" max="8451" width="15" style="465" customWidth="1"/>
    <col min="8452" max="8452" width="17" style="465" customWidth="1"/>
    <col min="8453" max="8453" width="19" style="465" customWidth="1"/>
    <col min="8454" max="8454" width="16.5703125" style="465" bestFit="1" customWidth="1"/>
    <col min="8455" max="8455" width="16" style="465" customWidth="1"/>
    <col min="8456" max="8456" width="17.7109375" style="465" customWidth="1"/>
    <col min="8457" max="8457" width="17.140625" style="465" customWidth="1"/>
    <col min="8458" max="8458" width="18.7109375" style="465" customWidth="1"/>
    <col min="8459" max="8459" width="18.85546875" style="465" bestFit="1" customWidth="1"/>
    <col min="8460" max="8460" width="14.140625" style="465" customWidth="1"/>
    <col min="8461" max="8461" width="15.5703125" style="465" bestFit="1" customWidth="1"/>
    <col min="8462" max="8462" width="10.140625" style="465" customWidth="1"/>
    <col min="8463" max="8463" width="16.5703125" style="465" bestFit="1" customWidth="1"/>
    <col min="8464" max="8701" width="10.140625" style="465"/>
    <col min="8702" max="8702" width="10.140625" style="465" customWidth="1"/>
    <col min="8703" max="8703" width="27.5703125" style="465" customWidth="1"/>
    <col min="8704" max="8704" width="10.140625" style="465" customWidth="1"/>
    <col min="8705" max="8705" width="35.28515625" style="465" customWidth="1"/>
    <col min="8706" max="8706" width="15.42578125" style="465" customWidth="1"/>
    <col min="8707" max="8707" width="15" style="465" customWidth="1"/>
    <col min="8708" max="8708" width="17" style="465" customWidth="1"/>
    <col min="8709" max="8709" width="19" style="465" customWidth="1"/>
    <col min="8710" max="8710" width="16.5703125" style="465" bestFit="1" customWidth="1"/>
    <col min="8711" max="8711" width="16" style="465" customWidth="1"/>
    <col min="8712" max="8712" width="17.7109375" style="465" customWidth="1"/>
    <col min="8713" max="8713" width="17.140625" style="465" customWidth="1"/>
    <col min="8714" max="8714" width="18.7109375" style="465" customWidth="1"/>
    <col min="8715" max="8715" width="18.85546875" style="465" bestFit="1" customWidth="1"/>
    <col min="8716" max="8716" width="14.140625" style="465" customWidth="1"/>
    <col min="8717" max="8717" width="15.5703125" style="465" bestFit="1" customWidth="1"/>
    <col min="8718" max="8718" width="10.140625" style="465" customWidth="1"/>
    <col min="8719" max="8719" width="16.5703125" style="465" bestFit="1" customWidth="1"/>
    <col min="8720" max="8957" width="10.140625" style="465"/>
    <col min="8958" max="8958" width="10.140625" style="465" customWidth="1"/>
    <col min="8959" max="8959" width="27.5703125" style="465" customWidth="1"/>
    <col min="8960" max="8960" width="10.140625" style="465" customWidth="1"/>
    <col min="8961" max="8961" width="35.28515625" style="465" customWidth="1"/>
    <col min="8962" max="8962" width="15.42578125" style="465" customWidth="1"/>
    <col min="8963" max="8963" width="15" style="465" customWidth="1"/>
    <col min="8964" max="8964" width="17" style="465" customWidth="1"/>
    <col min="8965" max="8965" width="19" style="465" customWidth="1"/>
    <col min="8966" max="8966" width="16.5703125" style="465" bestFit="1" customWidth="1"/>
    <col min="8967" max="8967" width="16" style="465" customWidth="1"/>
    <col min="8968" max="8968" width="17.7109375" style="465" customWidth="1"/>
    <col min="8969" max="8969" width="17.140625" style="465" customWidth="1"/>
    <col min="8970" max="8970" width="18.7109375" style="465" customWidth="1"/>
    <col min="8971" max="8971" width="18.85546875" style="465" bestFit="1" customWidth="1"/>
    <col min="8972" max="8972" width="14.140625" style="465" customWidth="1"/>
    <col min="8973" max="8973" width="15.5703125" style="465" bestFit="1" customWidth="1"/>
    <col min="8974" max="8974" width="10.140625" style="465" customWidth="1"/>
    <col min="8975" max="8975" width="16.5703125" style="465" bestFit="1" customWidth="1"/>
    <col min="8976" max="9213" width="10.140625" style="465"/>
    <col min="9214" max="9214" width="10.140625" style="465" customWidth="1"/>
    <col min="9215" max="9215" width="27.5703125" style="465" customWidth="1"/>
    <col min="9216" max="9216" width="10.140625" style="465" customWidth="1"/>
    <col min="9217" max="9217" width="35.28515625" style="465" customWidth="1"/>
    <col min="9218" max="9218" width="15.42578125" style="465" customWidth="1"/>
    <col min="9219" max="9219" width="15" style="465" customWidth="1"/>
    <col min="9220" max="9220" width="17" style="465" customWidth="1"/>
    <col min="9221" max="9221" width="19" style="465" customWidth="1"/>
    <col min="9222" max="9222" width="16.5703125" style="465" bestFit="1" customWidth="1"/>
    <col min="9223" max="9223" width="16" style="465" customWidth="1"/>
    <col min="9224" max="9224" width="17.7109375" style="465" customWidth="1"/>
    <col min="9225" max="9225" width="17.140625" style="465" customWidth="1"/>
    <col min="9226" max="9226" width="18.7109375" style="465" customWidth="1"/>
    <col min="9227" max="9227" width="18.85546875" style="465" bestFit="1" customWidth="1"/>
    <col min="9228" max="9228" width="14.140625" style="465" customWidth="1"/>
    <col min="9229" max="9229" width="15.5703125" style="465" bestFit="1" customWidth="1"/>
    <col min="9230" max="9230" width="10.140625" style="465" customWidth="1"/>
    <col min="9231" max="9231" width="16.5703125" style="465" bestFit="1" customWidth="1"/>
    <col min="9232" max="9469" width="10.140625" style="465"/>
    <col min="9470" max="9470" width="10.140625" style="465" customWidth="1"/>
    <col min="9471" max="9471" width="27.5703125" style="465" customWidth="1"/>
    <col min="9472" max="9472" width="10.140625" style="465" customWidth="1"/>
    <col min="9473" max="9473" width="35.28515625" style="465" customWidth="1"/>
    <col min="9474" max="9474" width="15.42578125" style="465" customWidth="1"/>
    <col min="9475" max="9475" width="15" style="465" customWidth="1"/>
    <col min="9476" max="9476" width="17" style="465" customWidth="1"/>
    <col min="9477" max="9477" width="19" style="465" customWidth="1"/>
    <col min="9478" max="9478" width="16.5703125" style="465" bestFit="1" customWidth="1"/>
    <col min="9479" max="9479" width="16" style="465" customWidth="1"/>
    <col min="9480" max="9480" width="17.7109375" style="465" customWidth="1"/>
    <col min="9481" max="9481" width="17.140625" style="465" customWidth="1"/>
    <col min="9482" max="9482" width="18.7109375" style="465" customWidth="1"/>
    <col min="9483" max="9483" width="18.85546875" style="465" bestFit="1" customWidth="1"/>
    <col min="9484" max="9484" width="14.140625" style="465" customWidth="1"/>
    <col min="9485" max="9485" width="15.5703125" style="465" bestFit="1" customWidth="1"/>
    <col min="9486" max="9486" width="10.140625" style="465" customWidth="1"/>
    <col min="9487" max="9487" width="16.5703125" style="465" bestFit="1" customWidth="1"/>
    <col min="9488" max="9725" width="10.140625" style="465"/>
    <col min="9726" max="9726" width="10.140625" style="465" customWidth="1"/>
    <col min="9727" max="9727" width="27.5703125" style="465" customWidth="1"/>
    <col min="9728" max="9728" width="10.140625" style="465" customWidth="1"/>
    <col min="9729" max="9729" width="35.28515625" style="465" customWidth="1"/>
    <col min="9730" max="9730" width="15.42578125" style="465" customWidth="1"/>
    <col min="9731" max="9731" width="15" style="465" customWidth="1"/>
    <col min="9732" max="9732" width="17" style="465" customWidth="1"/>
    <col min="9733" max="9733" width="19" style="465" customWidth="1"/>
    <col min="9734" max="9734" width="16.5703125" style="465" bestFit="1" customWidth="1"/>
    <col min="9735" max="9735" width="16" style="465" customWidth="1"/>
    <col min="9736" max="9736" width="17.7109375" style="465" customWidth="1"/>
    <col min="9737" max="9737" width="17.140625" style="465" customWidth="1"/>
    <col min="9738" max="9738" width="18.7109375" style="465" customWidth="1"/>
    <col min="9739" max="9739" width="18.85546875" style="465" bestFit="1" customWidth="1"/>
    <col min="9740" max="9740" width="14.140625" style="465" customWidth="1"/>
    <col min="9741" max="9741" width="15.5703125" style="465" bestFit="1" customWidth="1"/>
    <col min="9742" max="9742" width="10.140625" style="465" customWidth="1"/>
    <col min="9743" max="9743" width="16.5703125" style="465" bestFit="1" customWidth="1"/>
    <col min="9744" max="9981" width="10.140625" style="465"/>
    <col min="9982" max="9982" width="10.140625" style="465" customWidth="1"/>
    <col min="9983" max="9983" width="27.5703125" style="465" customWidth="1"/>
    <col min="9984" max="9984" width="10.140625" style="465" customWidth="1"/>
    <col min="9985" max="9985" width="35.28515625" style="465" customWidth="1"/>
    <col min="9986" max="9986" width="15.42578125" style="465" customWidth="1"/>
    <col min="9987" max="9987" width="15" style="465" customWidth="1"/>
    <col min="9988" max="9988" width="17" style="465" customWidth="1"/>
    <col min="9989" max="9989" width="19" style="465" customWidth="1"/>
    <col min="9990" max="9990" width="16.5703125" style="465" bestFit="1" customWidth="1"/>
    <col min="9991" max="9991" width="16" style="465" customWidth="1"/>
    <col min="9992" max="9992" width="17.7109375" style="465" customWidth="1"/>
    <col min="9993" max="9993" width="17.140625" style="465" customWidth="1"/>
    <col min="9994" max="9994" width="18.7109375" style="465" customWidth="1"/>
    <col min="9995" max="9995" width="18.85546875" style="465" bestFit="1" customWidth="1"/>
    <col min="9996" max="9996" width="14.140625" style="465" customWidth="1"/>
    <col min="9997" max="9997" width="15.5703125" style="465" bestFit="1" customWidth="1"/>
    <col min="9998" max="9998" width="10.140625" style="465" customWidth="1"/>
    <col min="9999" max="9999" width="16.5703125" style="465" bestFit="1" customWidth="1"/>
    <col min="10000" max="10237" width="10.140625" style="465"/>
    <col min="10238" max="10238" width="10.140625" style="465" customWidth="1"/>
    <col min="10239" max="10239" width="27.5703125" style="465" customWidth="1"/>
    <col min="10240" max="10240" width="10.140625" style="465" customWidth="1"/>
    <col min="10241" max="10241" width="35.28515625" style="465" customWidth="1"/>
    <col min="10242" max="10242" width="15.42578125" style="465" customWidth="1"/>
    <col min="10243" max="10243" width="15" style="465" customWidth="1"/>
    <col min="10244" max="10244" width="17" style="465" customWidth="1"/>
    <col min="10245" max="10245" width="19" style="465" customWidth="1"/>
    <col min="10246" max="10246" width="16.5703125" style="465" bestFit="1" customWidth="1"/>
    <col min="10247" max="10247" width="16" style="465" customWidth="1"/>
    <col min="10248" max="10248" width="17.7109375" style="465" customWidth="1"/>
    <col min="10249" max="10249" width="17.140625" style="465" customWidth="1"/>
    <col min="10250" max="10250" width="18.7109375" style="465" customWidth="1"/>
    <col min="10251" max="10251" width="18.85546875" style="465" bestFit="1" customWidth="1"/>
    <col min="10252" max="10252" width="14.140625" style="465" customWidth="1"/>
    <col min="10253" max="10253" width="15.5703125" style="465" bestFit="1" customWidth="1"/>
    <col min="10254" max="10254" width="10.140625" style="465" customWidth="1"/>
    <col min="10255" max="10255" width="16.5703125" style="465" bestFit="1" customWidth="1"/>
    <col min="10256" max="10493" width="10.140625" style="465"/>
    <col min="10494" max="10494" width="10.140625" style="465" customWidth="1"/>
    <col min="10495" max="10495" width="27.5703125" style="465" customWidth="1"/>
    <col min="10496" max="10496" width="10.140625" style="465" customWidth="1"/>
    <col min="10497" max="10497" width="35.28515625" style="465" customWidth="1"/>
    <col min="10498" max="10498" width="15.42578125" style="465" customWidth="1"/>
    <col min="10499" max="10499" width="15" style="465" customWidth="1"/>
    <col min="10500" max="10500" width="17" style="465" customWidth="1"/>
    <col min="10501" max="10501" width="19" style="465" customWidth="1"/>
    <col min="10502" max="10502" width="16.5703125" style="465" bestFit="1" customWidth="1"/>
    <col min="10503" max="10503" width="16" style="465" customWidth="1"/>
    <col min="10504" max="10504" width="17.7109375" style="465" customWidth="1"/>
    <col min="10505" max="10505" width="17.140625" style="465" customWidth="1"/>
    <col min="10506" max="10506" width="18.7109375" style="465" customWidth="1"/>
    <col min="10507" max="10507" width="18.85546875" style="465" bestFit="1" customWidth="1"/>
    <col min="10508" max="10508" width="14.140625" style="465" customWidth="1"/>
    <col min="10509" max="10509" width="15.5703125" style="465" bestFit="1" customWidth="1"/>
    <col min="10510" max="10510" width="10.140625" style="465" customWidth="1"/>
    <col min="10511" max="10511" width="16.5703125" style="465" bestFit="1" customWidth="1"/>
    <col min="10512" max="10749" width="10.140625" style="465"/>
    <col min="10750" max="10750" width="10.140625" style="465" customWidth="1"/>
    <col min="10751" max="10751" width="27.5703125" style="465" customWidth="1"/>
    <col min="10752" max="10752" width="10.140625" style="465" customWidth="1"/>
    <col min="10753" max="10753" width="35.28515625" style="465" customWidth="1"/>
    <col min="10754" max="10754" width="15.42578125" style="465" customWidth="1"/>
    <col min="10755" max="10755" width="15" style="465" customWidth="1"/>
    <col min="10756" max="10756" width="17" style="465" customWidth="1"/>
    <col min="10757" max="10757" width="19" style="465" customWidth="1"/>
    <col min="10758" max="10758" width="16.5703125" style="465" bestFit="1" customWidth="1"/>
    <col min="10759" max="10759" width="16" style="465" customWidth="1"/>
    <col min="10760" max="10760" width="17.7109375" style="465" customWidth="1"/>
    <col min="10761" max="10761" width="17.140625" style="465" customWidth="1"/>
    <col min="10762" max="10762" width="18.7109375" style="465" customWidth="1"/>
    <col min="10763" max="10763" width="18.85546875" style="465" bestFit="1" customWidth="1"/>
    <col min="10764" max="10764" width="14.140625" style="465" customWidth="1"/>
    <col min="10765" max="10765" width="15.5703125" style="465" bestFit="1" customWidth="1"/>
    <col min="10766" max="10766" width="10.140625" style="465" customWidth="1"/>
    <col min="10767" max="10767" width="16.5703125" style="465" bestFit="1" customWidth="1"/>
    <col min="10768" max="11005" width="10.140625" style="465"/>
    <col min="11006" max="11006" width="10.140625" style="465" customWidth="1"/>
    <col min="11007" max="11007" width="27.5703125" style="465" customWidth="1"/>
    <col min="11008" max="11008" width="10.140625" style="465" customWidth="1"/>
    <col min="11009" max="11009" width="35.28515625" style="465" customWidth="1"/>
    <col min="11010" max="11010" width="15.42578125" style="465" customWidth="1"/>
    <col min="11011" max="11011" width="15" style="465" customWidth="1"/>
    <col min="11012" max="11012" width="17" style="465" customWidth="1"/>
    <col min="11013" max="11013" width="19" style="465" customWidth="1"/>
    <col min="11014" max="11014" width="16.5703125" style="465" bestFit="1" customWidth="1"/>
    <col min="11015" max="11015" width="16" style="465" customWidth="1"/>
    <col min="11016" max="11016" width="17.7109375" style="465" customWidth="1"/>
    <col min="11017" max="11017" width="17.140625" style="465" customWidth="1"/>
    <col min="11018" max="11018" width="18.7109375" style="465" customWidth="1"/>
    <col min="11019" max="11019" width="18.85546875" style="465" bestFit="1" customWidth="1"/>
    <col min="11020" max="11020" width="14.140625" style="465" customWidth="1"/>
    <col min="11021" max="11021" width="15.5703125" style="465" bestFit="1" customWidth="1"/>
    <col min="11022" max="11022" width="10.140625" style="465" customWidth="1"/>
    <col min="11023" max="11023" width="16.5703125" style="465" bestFit="1" customWidth="1"/>
    <col min="11024" max="11261" width="10.140625" style="465"/>
    <col min="11262" max="11262" width="10.140625" style="465" customWidth="1"/>
    <col min="11263" max="11263" width="27.5703125" style="465" customWidth="1"/>
    <col min="11264" max="11264" width="10.140625" style="465" customWidth="1"/>
    <col min="11265" max="11265" width="35.28515625" style="465" customWidth="1"/>
    <col min="11266" max="11266" width="15.42578125" style="465" customWidth="1"/>
    <col min="11267" max="11267" width="15" style="465" customWidth="1"/>
    <col min="11268" max="11268" width="17" style="465" customWidth="1"/>
    <col min="11269" max="11269" width="19" style="465" customWidth="1"/>
    <col min="11270" max="11270" width="16.5703125" style="465" bestFit="1" customWidth="1"/>
    <col min="11271" max="11271" width="16" style="465" customWidth="1"/>
    <col min="11272" max="11272" width="17.7109375" style="465" customWidth="1"/>
    <col min="11273" max="11273" width="17.140625" style="465" customWidth="1"/>
    <col min="11274" max="11274" width="18.7109375" style="465" customWidth="1"/>
    <col min="11275" max="11275" width="18.85546875" style="465" bestFit="1" customWidth="1"/>
    <col min="11276" max="11276" width="14.140625" style="465" customWidth="1"/>
    <col min="11277" max="11277" width="15.5703125" style="465" bestFit="1" customWidth="1"/>
    <col min="11278" max="11278" width="10.140625" style="465" customWidth="1"/>
    <col min="11279" max="11279" width="16.5703125" style="465" bestFit="1" customWidth="1"/>
    <col min="11280" max="11517" width="10.140625" style="465"/>
    <col min="11518" max="11518" width="10.140625" style="465" customWidth="1"/>
    <col min="11519" max="11519" width="27.5703125" style="465" customWidth="1"/>
    <col min="11520" max="11520" width="10.140625" style="465" customWidth="1"/>
    <col min="11521" max="11521" width="35.28515625" style="465" customWidth="1"/>
    <col min="11522" max="11522" width="15.42578125" style="465" customWidth="1"/>
    <col min="11523" max="11523" width="15" style="465" customWidth="1"/>
    <col min="11524" max="11524" width="17" style="465" customWidth="1"/>
    <col min="11525" max="11525" width="19" style="465" customWidth="1"/>
    <col min="11526" max="11526" width="16.5703125" style="465" bestFit="1" customWidth="1"/>
    <col min="11527" max="11527" width="16" style="465" customWidth="1"/>
    <col min="11528" max="11528" width="17.7109375" style="465" customWidth="1"/>
    <col min="11529" max="11529" width="17.140625" style="465" customWidth="1"/>
    <col min="11530" max="11530" width="18.7109375" style="465" customWidth="1"/>
    <col min="11531" max="11531" width="18.85546875" style="465" bestFit="1" customWidth="1"/>
    <col min="11532" max="11532" width="14.140625" style="465" customWidth="1"/>
    <col min="11533" max="11533" width="15.5703125" style="465" bestFit="1" customWidth="1"/>
    <col min="11534" max="11534" width="10.140625" style="465" customWidth="1"/>
    <col min="11535" max="11535" width="16.5703125" style="465" bestFit="1" customWidth="1"/>
    <col min="11536" max="11773" width="10.140625" style="465"/>
    <col min="11774" max="11774" width="10.140625" style="465" customWidth="1"/>
    <col min="11775" max="11775" width="27.5703125" style="465" customWidth="1"/>
    <col min="11776" max="11776" width="10.140625" style="465" customWidth="1"/>
    <col min="11777" max="11777" width="35.28515625" style="465" customWidth="1"/>
    <col min="11778" max="11778" width="15.42578125" style="465" customWidth="1"/>
    <col min="11779" max="11779" width="15" style="465" customWidth="1"/>
    <col min="11780" max="11780" width="17" style="465" customWidth="1"/>
    <col min="11781" max="11781" width="19" style="465" customWidth="1"/>
    <col min="11782" max="11782" width="16.5703125" style="465" bestFit="1" customWidth="1"/>
    <col min="11783" max="11783" width="16" style="465" customWidth="1"/>
    <col min="11784" max="11784" width="17.7109375" style="465" customWidth="1"/>
    <col min="11785" max="11785" width="17.140625" style="465" customWidth="1"/>
    <col min="11786" max="11786" width="18.7109375" style="465" customWidth="1"/>
    <col min="11787" max="11787" width="18.85546875" style="465" bestFit="1" customWidth="1"/>
    <col min="11788" max="11788" width="14.140625" style="465" customWidth="1"/>
    <col min="11789" max="11789" width="15.5703125" style="465" bestFit="1" customWidth="1"/>
    <col min="11790" max="11790" width="10.140625" style="465" customWidth="1"/>
    <col min="11791" max="11791" width="16.5703125" style="465" bestFit="1" customWidth="1"/>
    <col min="11792" max="12029" width="10.140625" style="465"/>
    <col min="12030" max="12030" width="10.140625" style="465" customWidth="1"/>
    <col min="12031" max="12031" width="27.5703125" style="465" customWidth="1"/>
    <col min="12032" max="12032" width="10.140625" style="465" customWidth="1"/>
    <col min="12033" max="12033" width="35.28515625" style="465" customWidth="1"/>
    <col min="12034" max="12034" width="15.42578125" style="465" customWidth="1"/>
    <col min="12035" max="12035" width="15" style="465" customWidth="1"/>
    <col min="12036" max="12036" width="17" style="465" customWidth="1"/>
    <col min="12037" max="12037" width="19" style="465" customWidth="1"/>
    <col min="12038" max="12038" width="16.5703125" style="465" bestFit="1" customWidth="1"/>
    <col min="12039" max="12039" width="16" style="465" customWidth="1"/>
    <col min="12040" max="12040" width="17.7109375" style="465" customWidth="1"/>
    <col min="12041" max="12041" width="17.140625" style="465" customWidth="1"/>
    <col min="12042" max="12042" width="18.7109375" style="465" customWidth="1"/>
    <col min="12043" max="12043" width="18.85546875" style="465" bestFit="1" customWidth="1"/>
    <col min="12044" max="12044" width="14.140625" style="465" customWidth="1"/>
    <col min="12045" max="12045" width="15.5703125" style="465" bestFit="1" customWidth="1"/>
    <col min="12046" max="12046" width="10.140625" style="465" customWidth="1"/>
    <col min="12047" max="12047" width="16.5703125" style="465" bestFit="1" customWidth="1"/>
    <col min="12048" max="12285" width="10.140625" style="465"/>
    <col min="12286" max="12286" width="10.140625" style="465" customWidth="1"/>
    <col min="12287" max="12287" width="27.5703125" style="465" customWidth="1"/>
    <col min="12288" max="12288" width="10.140625" style="465" customWidth="1"/>
    <col min="12289" max="12289" width="35.28515625" style="465" customWidth="1"/>
    <col min="12290" max="12290" width="15.42578125" style="465" customWidth="1"/>
    <col min="12291" max="12291" width="15" style="465" customWidth="1"/>
    <col min="12292" max="12292" width="17" style="465" customWidth="1"/>
    <col min="12293" max="12293" width="19" style="465" customWidth="1"/>
    <col min="12294" max="12294" width="16.5703125" style="465" bestFit="1" customWidth="1"/>
    <col min="12295" max="12295" width="16" style="465" customWidth="1"/>
    <col min="12296" max="12296" width="17.7109375" style="465" customWidth="1"/>
    <col min="12297" max="12297" width="17.140625" style="465" customWidth="1"/>
    <col min="12298" max="12298" width="18.7109375" style="465" customWidth="1"/>
    <col min="12299" max="12299" width="18.85546875" style="465" bestFit="1" customWidth="1"/>
    <col min="12300" max="12300" width="14.140625" style="465" customWidth="1"/>
    <col min="12301" max="12301" width="15.5703125" style="465" bestFit="1" customWidth="1"/>
    <col min="12302" max="12302" width="10.140625" style="465" customWidth="1"/>
    <col min="12303" max="12303" width="16.5703125" style="465" bestFit="1" customWidth="1"/>
    <col min="12304" max="12541" width="10.140625" style="465"/>
    <col min="12542" max="12542" width="10.140625" style="465" customWidth="1"/>
    <col min="12543" max="12543" width="27.5703125" style="465" customWidth="1"/>
    <col min="12544" max="12544" width="10.140625" style="465" customWidth="1"/>
    <col min="12545" max="12545" width="35.28515625" style="465" customWidth="1"/>
    <col min="12546" max="12546" width="15.42578125" style="465" customWidth="1"/>
    <col min="12547" max="12547" width="15" style="465" customWidth="1"/>
    <col min="12548" max="12548" width="17" style="465" customWidth="1"/>
    <col min="12549" max="12549" width="19" style="465" customWidth="1"/>
    <col min="12550" max="12550" width="16.5703125" style="465" bestFit="1" customWidth="1"/>
    <col min="12551" max="12551" width="16" style="465" customWidth="1"/>
    <col min="12552" max="12552" width="17.7109375" style="465" customWidth="1"/>
    <col min="12553" max="12553" width="17.140625" style="465" customWidth="1"/>
    <col min="12554" max="12554" width="18.7109375" style="465" customWidth="1"/>
    <col min="12555" max="12555" width="18.85546875" style="465" bestFit="1" customWidth="1"/>
    <col min="12556" max="12556" width="14.140625" style="465" customWidth="1"/>
    <col min="12557" max="12557" width="15.5703125" style="465" bestFit="1" customWidth="1"/>
    <col min="12558" max="12558" width="10.140625" style="465" customWidth="1"/>
    <col min="12559" max="12559" width="16.5703125" style="465" bestFit="1" customWidth="1"/>
    <col min="12560" max="12797" width="10.140625" style="465"/>
    <col min="12798" max="12798" width="10.140625" style="465" customWidth="1"/>
    <col min="12799" max="12799" width="27.5703125" style="465" customWidth="1"/>
    <col min="12800" max="12800" width="10.140625" style="465" customWidth="1"/>
    <col min="12801" max="12801" width="35.28515625" style="465" customWidth="1"/>
    <col min="12802" max="12802" width="15.42578125" style="465" customWidth="1"/>
    <col min="12803" max="12803" width="15" style="465" customWidth="1"/>
    <col min="12804" max="12804" width="17" style="465" customWidth="1"/>
    <col min="12805" max="12805" width="19" style="465" customWidth="1"/>
    <col min="12806" max="12806" width="16.5703125" style="465" bestFit="1" customWidth="1"/>
    <col min="12807" max="12807" width="16" style="465" customWidth="1"/>
    <col min="12808" max="12808" width="17.7109375" style="465" customWidth="1"/>
    <col min="12809" max="12809" width="17.140625" style="465" customWidth="1"/>
    <col min="12810" max="12810" width="18.7109375" style="465" customWidth="1"/>
    <col min="12811" max="12811" width="18.85546875" style="465" bestFit="1" customWidth="1"/>
    <col min="12812" max="12812" width="14.140625" style="465" customWidth="1"/>
    <col min="12813" max="12813" width="15.5703125" style="465" bestFit="1" customWidth="1"/>
    <col min="12814" max="12814" width="10.140625" style="465" customWidth="1"/>
    <col min="12815" max="12815" width="16.5703125" style="465" bestFit="1" customWidth="1"/>
    <col min="12816" max="13053" width="10.140625" style="465"/>
    <col min="13054" max="13054" width="10.140625" style="465" customWidth="1"/>
    <col min="13055" max="13055" width="27.5703125" style="465" customWidth="1"/>
    <col min="13056" max="13056" width="10.140625" style="465" customWidth="1"/>
    <col min="13057" max="13057" width="35.28515625" style="465" customWidth="1"/>
    <col min="13058" max="13058" width="15.42578125" style="465" customWidth="1"/>
    <col min="13059" max="13059" width="15" style="465" customWidth="1"/>
    <col min="13060" max="13060" width="17" style="465" customWidth="1"/>
    <col min="13061" max="13061" width="19" style="465" customWidth="1"/>
    <col min="13062" max="13062" width="16.5703125" style="465" bestFit="1" customWidth="1"/>
    <col min="13063" max="13063" width="16" style="465" customWidth="1"/>
    <col min="13064" max="13064" width="17.7109375" style="465" customWidth="1"/>
    <col min="13065" max="13065" width="17.140625" style="465" customWidth="1"/>
    <col min="13066" max="13066" width="18.7109375" style="465" customWidth="1"/>
    <col min="13067" max="13067" width="18.85546875" style="465" bestFit="1" customWidth="1"/>
    <col min="13068" max="13068" width="14.140625" style="465" customWidth="1"/>
    <col min="13069" max="13069" width="15.5703125" style="465" bestFit="1" customWidth="1"/>
    <col min="13070" max="13070" width="10.140625" style="465" customWidth="1"/>
    <col min="13071" max="13071" width="16.5703125" style="465" bestFit="1" customWidth="1"/>
    <col min="13072" max="13309" width="10.140625" style="465"/>
    <col min="13310" max="13310" width="10.140625" style="465" customWidth="1"/>
    <col min="13311" max="13311" width="27.5703125" style="465" customWidth="1"/>
    <col min="13312" max="13312" width="10.140625" style="465" customWidth="1"/>
    <col min="13313" max="13313" width="35.28515625" style="465" customWidth="1"/>
    <col min="13314" max="13314" width="15.42578125" style="465" customWidth="1"/>
    <col min="13315" max="13315" width="15" style="465" customWidth="1"/>
    <col min="13316" max="13316" width="17" style="465" customWidth="1"/>
    <col min="13317" max="13317" width="19" style="465" customWidth="1"/>
    <col min="13318" max="13318" width="16.5703125" style="465" bestFit="1" customWidth="1"/>
    <col min="13319" max="13319" width="16" style="465" customWidth="1"/>
    <col min="13320" max="13320" width="17.7109375" style="465" customWidth="1"/>
    <col min="13321" max="13321" width="17.140625" style="465" customWidth="1"/>
    <col min="13322" max="13322" width="18.7109375" style="465" customWidth="1"/>
    <col min="13323" max="13323" width="18.85546875" style="465" bestFit="1" customWidth="1"/>
    <col min="13324" max="13324" width="14.140625" style="465" customWidth="1"/>
    <col min="13325" max="13325" width="15.5703125" style="465" bestFit="1" customWidth="1"/>
    <col min="13326" max="13326" width="10.140625" style="465" customWidth="1"/>
    <col min="13327" max="13327" width="16.5703125" style="465" bestFit="1" customWidth="1"/>
    <col min="13328" max="13565" width="10.140625" style="465"/>
    <col min="13566" max="13566" width="10.140625" style="465" customWidth="1"/>
    <col min="13567" max="13567" width="27.5703125" style="465" customWidth="1"/>
    <col min="13568" max="13568" width="10.140625" style="465" customWidth="1"/>
    <col min="13569" max="13569" width="35.28515625" style="465" customWidth="1"/>
    <col min="13570" max="13570" width="15.42578125" style="465" customWidth="1"/>
    <col min="13571" max="13571" width="15" style="465" customWidth="1"/>
    <col min="13572" max="13572" width="17" style="465" customWidth="1"/>
    <col min="13573" max="13573" width="19" style="465" customWidth="1"/>
    <col min="13574" max="13574" width="16.5703125" style="465" bestFit="1" customWidth="1"/>
    <col min="13575" max="13575" width="16" style="465" customWidth="1"/>
    <col min="13576" max="13576" width="17.7109375" style="465" customWidth="1"/>
    <col min="13577" max="13577" width="17.140625" style="465" customWidth="1"/>
    <col min="13578" max="13578" width="18.7109375" style="465" customWidth="1"/>
    <col min="13579" max="13579" width="18.85546875" style="465" bestFit="1" customWidth="1"/>
    <col min="13580" max="13580" width="14.140625" style="465" customWidth="1"/>
    <col min="13581" max="13581" width="15.5703125" style="465" bestFit="1" customWidth="1"/>
    <col min="13582" max="13582" width="10.140625" style="465" customWidth="1"/>
    <col min="13583" max="13583" width="16.5703125" style="465" bestFit="1" customWidth="1"/>
    <col min="13584" max="13821" width="10.140625" style="465"/>
    <col min="13822" max="13822" width="10.140625" style="465" customWidth="1"/>
    <col min="13823" max="13823" width="27.5703125" style="465" customWidth="1"/>
    <col min="13824" max="13824" width="10.140625" style="465" customWidth="1"/>
    <col min="13825" max="13825" width="35.28515625" style="465" customWidth="1"/>
    <col min="13826" max="13826" width="15.42578125" style="465" customWidth="1"/>
    <col min="13827" max="13827" width="15" style="465" customWidth="1"/>
    <col min="13828" max="13828" width="17" style="465" customWidth="1"/>
    <col min="13829" max="13829" width="19" style="465" customWidth="1"/>
    <col min="13830" max="13830" width="16.5703125" style="465" bestFit="1" customWidth="1"/>
    <col min="13831" max="13831" width="16" style="465" customWidth="1"/>
    <col min="13832" max="13832" width="17.7109375" style="465" customWidth="1"/>
    <col min="13833" max="13833" width="17.140625" style="465" customWidth="1"/>
    <col min="13834" max="13834" width="18.7109375" style="465" customWidth="1"/>
    <col min="13835" max="13835" width="18.85546875" style="465" bestFit="1" customWidth="1"/>
    <col min="13836" max="13836" width="14.140625" style="465" customWidth="1"/>
    <col min="13837" max="13837" width="15.5703125" style="465" bestFit="1" customWidth="1"/>
    <col min="13838" max="13838" width="10.140625" style="465" customWidth="1"/>
    <col min="13839" max="13839" width="16.5703125" style="465" bestFit="1" customWidth="1"/>
    <col min="13840" max="14077" width="10.140625" style="465"/>
    <col min="14078" max="14078" width="10.140625" style="465" customWidth="1"/>
    <col min="14079" max="14079" width="27.5703125" style="465" customWidth="1"/>
    <col min="14080" max="14080" width="10.140625" style="465" customWidth="1"/>
    <col min="14081" max="14081" width="35.28515625" style="465" customWidth="1"/>
    <col min="14082" max="14082" width="15.42578125" style="465" customWidth="1"/>
    <col min="14083" max="14083" width="15" style="465" customWidth="1"/>
    <col min="14084" max="14084" width="17" style="465" customWidth="1"/>
    <col min="14085" max="14085" width="19" style="465" customWidth="1"/>
    <col min="14086" max="14086" width="16.5703125" style="465" bestFit="1" customWidth="1"/>
    <col min="14087" max="14087" width="16" style="465" customWidth="1"/>
    <col min="14088" max="14088" width="17.7109375" style="465" customWidth="1"/>
    <col min="14089" max="14089" width="17.140625" style="465" customWidth="1"/>
    <col min="14090" max="14090" width="18.7109375" style="465" customWidth="1"/>
    <col min="14091" max="14091" width="18.85546875" style="465" bestFit="1" customWidth="1"/>
    <col min="14092" max="14092" width="14.140625" style="465" customWidth="1"/>
    <col min="14093" max="14093" width="15.5703125" style="465" bestFit="1" customWidth="1"/>
    <col min="14094" max="14094" width="10.140625" style="465" customWidth="1"/>
    <col min="14095" max="14095" width="16.5703125" style="465" bestFit="1" customWidth="1"/>
    <col min="14096" max="14333" width="10.140625" style="465"/>
    <col min="14334" max="14334" width="10.140625" style="465" customWidth="1"/>
    <col min="14335" max="14335" width="27.5703125" style="465" customWidth="1"/>
    <col min="14336" max="14336" width="10.140625" style="465" customWidth="1"/>
    <col min="14337" max="14337" width="35.28515625" style="465" customWidth="1"/>
    <col min="14338" max="14338" width="15.42578125" style="465" customWidth="1"/>
    <col min="14339" max="14339" width="15" style="465" customWidth="1"/>
    <col min="14340" max="14340" width="17" style="465" customWidth="1"/>
    <col min="14341" max="14341" width="19" style="465" customWidth="1"/>
    <col min="14342" max="14342" width="16.5703125" style="465" bestFit="1" customWidth="1"/>
    <col min="14343" max="14343" width="16" style="465" customWidth="1"/>
    <col min="14344" max="14344" width="17.7109375" style="465" customWidth="1"/>
    <col min="14345" max="14345" width="17.140625" style="465" customWidth="1"/>
    <col min="14346" max="14346" width="18.7109375" style="465" customWidth="1"/>
    <col min="14347" max="14347" width="18.85546875" style="465" bestFit="1" customWidth="1"/>
    <col min="14348" max="14348" width="14.140625" style="465" customWidth="1"/>
    <col min="14349" max="14349" width="15.5703125" style="465" bestFit="1" customWidth="1"/>
    <col min="14350" max="14350" width="10.140625" style="465" customWidth="1"/>
    <col min="14351" max="14351" width="16.5703125" style="465" bestFit="1" customWidth="1"/>
    <col min="14352" max="14589" width="10.140625" style="465"/>
    <col min="14590" max="14590" width="10.140625" style="465" customWidth="1"/>
    <col min="14591" max="14591" width="27.5703125" style="465" customWidth="1"/>
    <col min="14592" max="14592" width="10.140625" style="465" customWidth="1"/>
    <col min="14593" max="14593" width="35.28515625" style="465" customWidth="1"/>
    <col min="14594" max="14594" width="15.42578125" style="465" customWidth="1"/>
    <col min="14595" max="14595" width="15" style="465" customWidth="1"/>
    <col min="14596" max="14596" width="17" style="465" customWidth="1"/>
    <col min="14597" max="14597" width="19" style="465" customWidth="1"/>
    <col min="14598" max="14598" width="16.5703125" style="465" bestFit="1" customWidth="1"/>
    <col min="14599" max="14599" width="16" style="465" customWidth="1"/>
    <col min="14600" max="14600" width="17.7109375" style="465" customWidth="1"/>
    <col min="14601" max="14601" width="17.140625" style="465" customWidth="1"/>
    <col min="14602" max="14602" width="18.7109375" style="465" customWidth="1"/>
    <col min="14603" max="14603" width="18.85546875" style="465" bestFit="1" customWidth="1"/>
    <col min="14604" max="14604" width="14.140625" style="465" customWidth="1"/>
    <col min="14605" max="14605" width="15.5703125" style="465" bestFit="1" customWidth="1"/>
    <col min="14606" max="14606" width="10.140625" style="465" customWidth="1"/>
    <col min="14607" max="14607" width="16.5703125" style="465" bestFit="1" customWidth="1"/>
    <col min="14608" max="14845" width="10.140625" style="465"/>
    <col min="14846" max="14846" width="10.140625" style="465" customWidth="1"/>
    <col min="14847" max="14847" width="27.5703125" style="465" customWidth="1"/>
    <col min="14848" max="14848" width="10.140625" style="465" customWidth="1"/>
    <col min="14849" max="14849" width="35.28515625" style="465" customWidth="1"/>
    <col min="14850" max="14850" width="15.42578125" style="465" customWidth="1"/>
    <col min="14851" max="14851" width="15" style="465" customWidth="1"/>
    <col min="14852" max="14852" width="17" style="465" customWidth="1"/>
    <col min="14853" max="14853" width="19" style="465" customWidth="1"/>
    <col min="14854" max="14854" width="16.5703125" style="465" bestFit="1" customWidth="1"/>
    <col min="14855" max="14855" width="16" style="465" customWidth="1"/>
    <col min="14856" max="14856" width="17.7109375" style="465" customWidth="1"/>
    <col min="14857" max="14857" width="17.140625" style="465" customWidth="1"/>
    <col min="14858" max="14858" width="18.7109375" style="465" customWidth="1"/>
    <col min="14859" max="14859" width="18.85546875" style="465" bestFit="1" customWidth="1"/>
    <col min="14860" max="14860" width="14.140625" style="465" customWidth="1"/>
    <col min="14861" max="14861" width="15.5703125" style="465" bestFit="1" customWidth="1"/>
    <col min="14862" max="14862" width="10.140625" style="465" customWidth="1"/>
    <col min="14863" max="14863" width="16.5703125" style="465" bestFit="1" customWidth="1"/>
    <col min="14864" max="15101" width="10.140625" style="465"/>
    <col min="15102" max="15102" width="10.140625" style="465" customWidth="1"/>
    <col min="15103" max="15103" width="27.5703125" style="465" customWidth="1"/>
    <col min="15104" max="15104" width="10.140625" style="465" customWidth="1"/>
    <col min="15105" max="15105" width="35.28515625" style="465" customWidth="1"/>
    <col min="15106" max="15106" width="15.42578125" style="465" customWidth="1"/>
    <col min="15107" max="15107" width="15" style="465" customWidth="1"/>
    <col min="15108" max="15108" width="17" style="465" customWidth="1"/>
    <col min="15109" max="15109" width="19" style="465" customWidth="1"/>
    <col min="15110" max="15110" width="16.5703125" style="465" bestFit="1" customWidth="1"/>
    <col min="15111" max="15111" width="16" style="465" customWidth="1"/>
    <col min="15112" max="15112" width="17.7109375" style="465" customWidth="1"/>
    <col min="15113" max="15113" width="17.140625" style="465" customWidth="1"/>
    <col min="15114" max="15114" width="18.7109375" style="465" customWidth="1"/>
    <col min="15115" max="15115" width="18.85546875" style="465" bestFit="1" customWidth="1"/>
    <col min="15116" max="15116" width="14.140625" style="465" customWidth="1"/>
    <col min="15117" max="15117" width="15.5703125" style="465" bestFit="1" customWidth="1"/>
    <col min="15118" max="15118" width="10.140625" style="465" customWidth="1"/>
    <col min="15119" max="15119" width="16.5703125" style="465" bestFit="1" customWidth="1"/>
    <col min="15120" max="15357" width="10.140625" style="465"/>
    <col min="15358" max="15358" width="10.140625" style="465" customWidth="1"/>
    <col min="15359" max="15359" width="27.5703125" style="465" customWidth="1"/>
    <col min="15360" max="15360" width="10.140625" style="465" customWidth="1"/>
    <col min="15361" max="15361" width="35.28515625" style="465" customWidth="1"/>
    <col min="15362" max="15362" width="15.42578125" style="465" customWidth="1"/>
    <col min="15363" max="15363" width="15" style="465" customWidth="1"/>
    <col min="15364" max="15364" width="17" style="465" customWidth="1"/>
    <col min="15365" max="15365" width="19" style="465" customWidth="1"/>
    <col min="15366" max="15366" width="16.5703125" style="465" bestFit="1" customWidth="1"/>
    <col min="15367" max="15367" width="16" style="465" customWidth="1"/>
    <col min="15368" max="15368" width="17.7109375" style="465" customWidth="1"/>
    <col min="15369" max="15369" width="17.140625" style="465" customWidth="1"/>
    <col min="15370" max="15370" width="18.7109375" style="465" customWidth="1"/>
    <col min="15371" max="15371" width="18.85546875" style="465" bestFit="1" customWidth="1"/>
    <col min="15372" max="15372" width="14.140625" style="465" customWidth="1"/>
    <col min="15373" max="15373" width="15.5703125" style="465" bestFit="1" customWidth="1"/>
    <col min="15374" max="15374" width="10.140625" style="465" customWidth="1"/>
    <col min="15375" max="15375" width="16.5703125" style="465" bestFit="1" customWidth="1"/>
    <col min="15376" max="15613" width="10.140625" style="465"/>
    <col min="15614" max="15614" width="10.140625" style="465" customWidth="1"/>
    <col min="15615" max="15615" width="27.5703125" style="465" customWidth="1"/>
    <col min="15616" max="15616" width="10.140625" style="465" customWidth="1"/>
    <col min="15617" max="15617" width="35.28515625" style="465" customWidth="1"/>
    <col min="15618" max="15618" width="15.42578125" style="465" customWidth="1"/>
    <col min="15619" max="15619" width="15" style="465" customWidth="1"/>
    <col min="15620" max="15620" width="17" style="465" customWidth="1"/>
    <col min="15621" max="15621" width="19" style="465" customWidth="1"/>
    <col min="15622" max="15622" width="16.5703125" style="465" bestFit="1" customWidth="1"/>
    <col min="15623" max="15623" width="16" style="465" customWidth="1"/>
    <col min="15624" max="15624" width="17.7109375" style="465" customWidth="1"/>
    <col min="15625" max="15625" width="17.140625" style="465" customWidth="1"/>
    <col min="15626" max="15626" width="18.7109375" style="465" customWidth="1"/>
    <col min="15627" max="15627" width="18.85546875" style="465" bestFit="1" customWidth="1"/>
    <col min="15628" max="15628" width="14.140625" style="465" customWidth="1"/>
    <col min="15629" max="15629" width="15.5703125" style="465" bestFit="1" customWidth="1"/>
    <col min="15630" max="15630" width="10.140625" style="465" customWidth="1"/>
    <col min="15631" max="15631" width="16.5703125" style="465" bestFit="1" customWidth="1"/>
    <col min="15632" max="15869" width="10.140625" style="465"/>
    <col min="15870" max="15870" width="10.140625" style="465" customWidth="1"/>
    <col min="15871" max="15871" width="27.5703125" style="465" customWidth="1"/>
    <col min="15872" max="15872" width="10.140625" style="465" customWidth="1"/>
    <col min="15873" max="15873" width="35.28515625" style="465" customWidth="1"/>
    <col min="15874" max="15874" width="15.42578125" style="465" customWidth="1"/>
    <col min="15875" max="15875" width="15" style="465" customWidth="1"/>
    <col min="15876" max="15876" width="17" style="465" customWidth="1"/>
    <col min="15877" max="15877" width="19" style="465" customWidth="1"/>
    <col min="15878" max="15878" width="16.5703125" style="465" bestFit="1" customWidth="1"/>
    <col min="15879" max="15879" width="16" style="465" customWidth="1"/>
    <col min="15880" max="15880" width="17.7109375" style="465" customWidth="1"/>
    <col min="15881" max="15881" width="17.140625" style="465" customWidth="1"/>
    <col min="15882" max="15882" width="18.7109375" style="465" customWidth="1"/>
    <col min="15883" max="15883" width="18.85546875" style="465" bestFit="1" customWidth="1"/>
    <col min="15884" max="15884" width="14.140625" style="465" customWidth="1"/>
    <col min="15885" max="15885" width="15.5703125" style="465" bestFit="1" customWidth="1"/>
    <col min="15886" max="15886" width="10.140625" style="465" customWidth="1"/>
    <col min="15887" max="15887" width="16.5703125" style="465" bestFit="1" customWidth="1"/>
    <col min="15888" max="16125" width="10.140625" style="465"/>
    <col min="16126" max="16126" width="10.140625" style="465" customWidth="1"/>
    <col min="16127" max="16127" width="27.5703125" style="465" customWidth="1"/>
    <col min="16128" max="16128" width="10.140625" style="465" customWidth="1"/>
    <col min="16129" max="16129" width="35.28515625" style="465" customWidth="1"/>
    <col min="16130" max="16130" width="15.42578125" style="465" customWidth="1"/>
    <col min="16131" max="16131" width="15" style="465" customWidth="1"/>
    <col min="16132" max="16132" width="17" style="465" customWidth="1"/>
    <col min="16133" max="16133" width="19" style="465" customWidth="1"/>
    <col min="16134" max="16134" width="16.5703125" style="465" bestFit="1" customWidth="1"/>
    <col min="16135" max="16135" width="16" style="465" customWidth="1"/>
    <col min="16136" max="16136" width="17.7109375" style="465" customWidth="1"/>
    <col min="16137" max="16137" width="17.140625" style="465" customWidth="1"/>
    <col min="16138" max="16138" width="18.7109375" style="465" customWidth="1"/>
    <col min="16139" max="16139" width="18.85546875" style="465" bestFit="1" customWidth="1"/>
    <col min="16140" max="16140" width="14.140625" style="465" customWidth="1"/>
    <col min="16141" max="16141" width="15.5703125" style="465" bestFit="1" customWidth="1"/>
    <col min="16142" max="16142" width="10.140625" style="465" customWidth="1"/>
    <col min="16143" max="16143" width="16.5703125" style="465" bestFit="1" customWidth="1"/>
    <col min="16144" max="16384" width="10.140625" style="465"/>
  </cols>
  <sheetData>
    <row r="1" spans="1:11" ht="45" customHeight="1" x14ac:dyDescent="0.25">
      <c r="A1" s="1135" t="s">
        <v>462</v>
      </c>
      <c r="B1" s="1135"/>
      <c r="C1" s="1135"/>
      <c r="D1" s="1135"/>
      <c r="E1" s="1135"/>
      <c r="F1" s="1135"/>
      <c r="G1" s="1135"/>
      <c r="H1" s="834"/>
      <c r="I1" s="834"/>
    </row>
    <row r="2" spans="1:11" ht="53.25" customHeight="1" x14ac:dyDescent="0.25">
      <c r="A2" s="1136" t="s">
        <v>472</v>
      </c>
      <c r="B2" s="1136"/>
      <c r="C2" s="1136"/>
      <c r="D2" s="1136"/>
      <c r="E2" s="1136"/>
      <c r="F2" s="1136"/>
      <c r="G2" s="1136"/>
      <c r="H2" s="834"/>
      <c r="I2" s="834"/>
    </row>
    <row r="3" spans="1:11" s="356" customFormat="1" ht="42.75" customHeight="1" x14ac:dyDescent="0.25">
      <c r="A3" s="305" t="s">
        <v>0</v>
      </c>
      <c r="B3" s="305" t="s">
        <v>1</v>
      </c>
      <c r="C3" s="305" t="s">
        <v>33</v>
      </c>
      <c r="D3" s="822" t="s">
        <v>32</v>
      </c>
      <c r="E3" s="602" t="s">
        <v>261</v>
      </c>
      <c r="F3" s="602" t="s">
        <v>258</v>
      </c>
      <c r="G3" s="823" t="s">
        <v>21</v>
      </c>
      <c r="H3" s="834"/>
      <c r="I3" s="834"/>
    </row>
    <row r="4" spans="1:11" s="356" customFormat="1" ht="69" customHeight="1" x14ac:dyDescent="0.25">
      <c r="A4" s="305">
        <v>1</v>
      </c>
      <c r="B4" s="820" t="s">
        <v>360</v>
      </c>
      <c r="C4" s="306"/>
      <c r="D4" s="825"/>
      <c r="E4" s="826"/>
      <c r="F4" s="827">
        <f>F5+F6+F10</f>
        <v>431110000</v>
      </c>
      <c r="G4" s="722"/>
      <c r="H4" s="834"/>
      <c r="I4" s="834"/>
    </row>
    <row r="5" spans="1:11" s="356" customFormat="1" ht="111.75" customHeight="1" x14ac:dyDescent="0.25">
      <c r="A5" s="828" t="s">
        <v>44</v>
      </c>
      <c r="B5" s="787" t="s">
        <v>448</v>
      </c>
      <c r="C5" s="305"/>
      <c r="D5" s="602">
        <v>1</v>
      </c>
      <c r="E5" s="829">
        <v>30000000</v>
      </c>
      <c r="F5" s="602">
        <f>D5*E5</f>
        <v>30000000</v>
      </c>
      <c r="G5" s="602" t="s">
        <v>708</v>
      </c>
      <c r="I5" s="834" t="s">
        <v>709</v>
      </c>
      <c r="J5" s="657"/>
      <c r="K5" s="356">
        <f>I6:P6</f>
        <v>0</v>
      </c>
    </row>
    <row r="6" spans="1:11" s="356" customFormat="1" ht="150" customHeight="1" x14ac:dyDescent="0.25">
      <c r="A6" s="828" t="s">
        <v>45</v>
      </c>
      <c r="B6" s="787" t="s">
        <v>500</v>
      </c>
      <c r="C6" s="306"/>
      <c r="D6" s="825"/>
      <c r="E6" s="826"/>
      <c r="F6" s="602">
        <f>+SUM(F7:F9)</f>
        <v>12500000</v>
      </c>
      <c r="G6" s="722"/>
      <c r="H6" s="834"/>
      <c r="I6" s="834"/>
    </row>
    <row r="7" spans="1:11" s="356" customFormat="1" ht="29.25" customHeight="1" x14ac:dyDescent="0.25">
      <c r="A7" s="306" t="s">
        <v>369</v>
      </c>
      <c r="B7" s="312" t="s">
        <v>519</v>
      </c>
      <c r="C7" s="306"/>
      <c r="D7" s="830">
        <v>5</v>
      </c>
      <c r="E7" s="517">
        <v>1500000</v>
      </c>
      <c r="F7" s="826">
        <f t="shared" ref="F7" si="0">D7*E7</f>
        <v>7500000</v>
      </c>
      <c r="G7" s="722"/>
      <c r="H7" s="834"/>
      <c r="I7" s="834"/>
    </row>
    <row r="8" spans="1:11" s="356" customFormat="1" ht="30.75" customHeight="1" x14ac:dyDescent="0.25">
      <c r="A8" s="306" t="s">
        <v>370</v>
      </c>
      <c r="B8" s="312" t="s">
        <v>704</v>
      </c>
      <c r="C8" s="306" t="s">
        <v>203</v>
      </c>
      <c r="D8" s="825">
        <f>5*4</f>
        <v>20</v>
      </c>
      <c r="E8" s="517">
        <v>200000</v>
      </c>
      <c r="F8" s="826">
        <f>D8*E8</f>
        <v>4000000</v>
      </c>
      <c r="G8" s="831"/>
      <c r="H8" s="834"/>
      <c r="I8" s="834"/>
    </row>
    <row r="9" spans="1:11" s="824" customFormat="1" ht="28.5" customHeight="1" x14ac:dyDescent="0.25">
      <c r="A9" s="306" t="s">
        <v>371</v>
      </c>
      <c r="B9" s="312" t="s">
        <v>362</v>
      </c>
      <c r="C9" s="306" t="s">
        <v>361</v>
      </c>
      <c r="D9" s="825">
        <v>10</v>
      </c>
      <c r="E9" s="517">
        <v>100000</v>
      </c>
      <c r="F9" s="826">
        <f t="shared" ref="F9" si="1">D9*E9</f>
        <v>1000000</v>
      </c>
      <c r="G9" s="831"/>
      <c r="H9" s="835"/>
      <c r="I9" s="835"/>
    </row>
    <row r="10" spans="1:11" s="356" customFormat="1" ht="66" customHeight="1" x14ac:dyDescent="0.25">
      <c r="A10" s="305" t="s">
        <v>87</v>
      </c>
      <c r="B10" s="820" t="s">
        <v>520</v>
      </c>
      <c r="C10" s="305"/>
      <c r="D10" s="826"/>
      <c r="E10" s="826"/>
      <c r="F10" s="827">
        <f>SUM(F11,F16,F22,F27,F34,F41,F48)</f>
        <v>388610000</v>
      </c>
      <c r="G10" s="722"/>
      <c r="H10" s="834"/>
      <c r="I10" s="834"/>
    </row>
    <row r="11" spans="1:11" s="356" customFormat="1" ht="31.5" x14ac:dyDescent="0.25">
      <c r="A11" s="606" t="s">
        <v>433</v>
      </c>
      <c r="B11" s="821" t="s">
        <v>592</v>
      </c>
      <c r="C11" s="305"/>
      <c r="D11" s="825"/>
      <c r="E11" s="826"/>
      <c r="F11" s="827">
        <f>SUM(F12:F15)</f>
        <v>43800000</v>
      </c>
      <c r="G11" s="722"/>
      <c r="H11" s="834"/>
      <c r="I11" s="834"/>
    </row>
    <row r="12" spans="1:11" s="356" customFormat="1" ht="15.75" x14ac:dyDescent="0.25">
      <c r="A12" s="306" t="s">
        <v>363</v>
      </c>
      <c r="B12" s="312" t="s">
        <v>599</v>
      </c>
      <c r="C12" s="306" t="s">
        <v>207</v>
      </c>
      <c r="D12" s="830">
        <v>1150</v>
      </c>
      <c r="E12" s="517">
        <v>12000</v>
      </c>
      <c r="F12" s="826">
        <f t="shared" ref="F12:F15" si="2">D12*E12</f>
        <v>13800000</v>
      </c>
      <c r="G12" s="722"/>
      <c r="H12" s="834"/>
      <c r="I12" s="834"/>
    </row>
    <row r="13" spans="1:11" s="356" customFormat="1" ht="20.25" customHeight="1" x14ac:dyDescent="0.25">
      <c r="A13" s="306" t="s">
        <v>364</v>
      </c>
      <c r="B13" s="312" t="s">
        <v>571</v>
      </c>
      <c r="C13" s="306" t="s">
        <v>203</v>
      </c>
      <c r="D13" s="825">
        <v>55</v>
      </c>
      <c r="E13" s="517">
        <v>200000</v>
      </c>
      <c r="F13" s="826">
        <f t="shared" si="2"/>
        <v>11000000</v>
      </c>
      <c r="G13" s="831"/>
      <c r="H13" s="834"/>
      <c r="I13" s="834"/>
    </row>
    <row r="14" spans="1:11" s="356" customFormat="1" ht="20.25" customHeight="1" x14ac:dyDescent="0.25">
      <c r="A14" s="306" t="s">
        <v>365</v>
      </c>
      <c r="B14" s="312" t="s">
        <v>572</v>
      </c>
      <c r="C14" s="306" t="s">
        <v>205</v>
      </c>
      <c r="D14" s="825">
        <v>50</v>
      </c>
      <c r="E14" s="517">
        <v>300000</v>
      </c>
      <c r="F14" s="826">
        <f t="shared" si="2"/>
        <v>15000000</v>
      </c>
      <c r="G14" s="831"/>
      <c r="H14" s="834"/>
      <c r="I14" s="834"/>
    </row>
    <row r="15" spans="1:11" s="356" customFormat="1" ht="20.25" customHeight="1" x14ac:dyDescent="0.25">
      <c r="A15" s="306" t="s">
        <v>366</v>
      </c>
      <c r="B15" s="312" t="s">
        <v>362</v>
      </c>
      <c r="C15" s="306" t="s">
        <v>361</v>
      </c>
      <c r="D15" s="825">
        <v>40</v>
      </c>
      <c r="E15" s="517">
        <v>100000</v>
      </c>
      <c r="F15" s="826">
        <f t="shared" si="2"/>
        <v>4000000</v>
      </c>
      <c r="G15" s="831"/>
      <c r="H15" s="834"/>
      <c r="I15" s="834"/>
    </row>
    <row r="16" spans="1:11" ht="30" customHeight="1" x14ac:dyDescent="0.25">
      <c r="A16" s="606" t="s">
        <v>434</v>
      </c>
      <c r="B16" s="821" t="s">
        <v>602</v>
      </c>
      <c r="C16" s="305"/>
      <c r="D16" s="826"/>
      <c r="E16" s="826"/>
      <c r="F16" s="829">
        <f>SUM(F17:F21)</f>
        <v>42110000</v>
      </c>
      <c r="G16" s="722"/>
      <c r="H16" s="834"/>
      <c r="I16" s="834"/>
    </row>
    <row r="17" spans="1:9" s="356" customFormat="1" ht="15.75" x14ac:dyDescent="0.25">
      <c r="A17" s="306" t="s">
        <v>363</v>
      </c>
      <c r="B17" s="312" t="s">
        <v>599</v>
      </c>
      <c r="C17" s="306" t="s">
        <v>207</v>
      </c>
      <c r="D17" s="830">
        <v>880</v>
      </c>
      <c r="E17" s="517">
        <v>12000</v>
      </c>
      <c r="F17" s="826">
        <f t="shared" ref="F17" si="3">D17*E17</f>
        <v>10560000</v>
      </c>
      <c r="G17" s="722"/>
      <c r="H17" s="834"/>
      <c r="I17" s="834"/>
    </row>
    <row r="18" spans="1:9" s="356" customFormat="1" ht="20.25" customHeight="1" x14ac:dyDescent="0.25">
      <c r="A18" s="306" t="s">
        <v>364</v>
      </c>
      <c r="B18" s="312" t="s">
        <v>573</v>
      </c>
      <c r="C18" s="306" t="s">
        <v>203</v>
      </c>
      <c r="D18" s="830">
        <f>11*4</f>
        <v>44</v>
      </c>
      <c r="E18" s="517">
        <v>200000</v>
      </c>
      <c r="F18" s="826">
        <f>D18*E18</f>
        <v>8800000</v>
      </c>
      <c r="G18" s="722"/>
      <c r="H18" s="834"/>
      <c r="I18" s="834"/>
    </row>
    <row r="19" spans="1:9" s="356" customFormat="1" ht="20.25" customHeight="1" x14ac:dyDescent="0.25">
      <c r="A19" s="306" t="s">
        <v>365</v>
      </c>
      <c r="B19" s="312" t="s">
        <v>574</v>
      </c>
      <c r="C19" s="306" t="s">
        <v>205</v>
      </c>
      <c r="D19" s="825">
        <v>25</v>
      </c>
      <c r="E19" s="517">
        <v>450000</v>
      </c>
      <c r="F19" s="826">
        <f t="shared" ref="F19:F21" si="4">D19*E19</f>
        <v>11250000</v>
      </c>
      <c r="G19" s="831"/>
      <c r="H19" s="834"/>
      <c r="I19" s="834"/>
    </row>
    <row r="20" spans="1:9" s="356" customFormat="1" ht="20.25" customHeight="1" x14ac:dyDescent="0.25">
      <c r="A20" s="306" t="s">
        <v>366</v>
      </c>
      <c r="B20" s="312" t="s">
        <v>575</v>
      </c>
      <c r="C20" s="306" t="s">
        <v>205</v>
      </c>
      <c r="D20" s="825">
        <v>25</v>
      </c>
      <c r="E20" s="517">
        <v>300000</v>
      </c>
      <c r="F20" s="826">
        <f>D20*E20</f>
        <v>7500000</v>
      </c>
      <c r="G20" s="831"/>
      <c r="H20" s="834"/>
      <c r="I20" s="834"/>
    </row>
    <row r="21" spans="1:9" s="356" customFormat="1" ht="20.25" customHeight="1" x14ac:dyDescent="0.25">
      <c r="A21" s="306" t="s">
        <v>381</v>
      </c>
      <c r="B21" s="312" t="s">
        <v>362</v>
      </c>
      <c r="C21" s="306" t="s">
        <v>361</v>
      </c>
      <c r="D21" s="825">
        <v>40</v>
      </c>
      <c r="E21" s="517">
        <v>100000</v>
      </c>
      <c r="F21" s="826">
        <f t="shared" si="4"/>
        <v>4000000</v>
      </c>
      <c r="G21" s="831"/>
      <c r="H21" s="834"/>
      <c r="I21" s="834"/>
    </row>
    <row r="22" spans="1:9" ht="26.25" customHeight="1" x14ac:dyDescent="0.25">
      <c r="A22" s="606" t="s">
        <v>435</v>
      </c>
      <c r="B22" s="821" t="s">
        <v>593</v>
      </c>
      <c r="C22" s="305"/>
      <c r="D22" s="826"/>
      <c r="E22" s="826"/>
      <c r="F22" s="827">
        <f>SUM(F23:F26)</f>
        <v>48600000</v>
      </c>
      <c r="G22" s="722" t="s">
        <v>711</v>
      </c>
      <c r="H22" s="834"/>
      <c r="I22" s="834"/>
    </row>
    <row r="23" spans="1:9" s="356" customFormat="1" ht="15.75" x14ac:dyDescent="0.25">
      <c r="A23" s="306" t="s">
        <v>363</v>
      </c>
      <c r="B23" s="312" t="s">
        <v>599</v>
      </c>
      <c r="C23" s="306" t="s">
        <v>207</v>
      </c>
      <c r="D23" s="830">
        <v>1550</v>
      </c>
      <c r="E23" s="517">
        <v>12000</v>
      </c>
      <c r="F23" s="826">
        <f t="shared" ref="F23" si="5">D23*E23</f>
        <v>18600000</v>
      </c>
      <c r="G23" s="722" t="s">
        <v>710</v>
      </c>
      <c r="H23" s="834"/>
      <c r="I23" s="834"/>
    </row>
    <row r="24" spans="1:9" s="356" customFormat="1" ht="20.25" customHeight="1" x14ac:dyDescent="0.25">
      <c r="A24" s="306" t="s">
        <v>364</v>
      </c>
      <c r="B24" s="312" t="s">
        <v>576</v>
      </c>
      <c r="C24" s="306" t="s">
        <v>203</v>
      </c>
      <c r="D24" s="830">
        <v>55</v>
      </c>
      <c r="E24" s="517">
        <v>200000</v>
      </c>
      <c r="F24" s="826">
        <f>D24*E24</f>
        <v>11000000</v>
      </c>
      <c r="G24" s="722"/>
      <c r="H24" s="834"/>
      <c r="I24" s="834"/>
    </row>
    <row r="25" spans="1:9" s="356" customFormat="1" ht="20.25" customHeight="1" x14ac:dyDescent="0.25">
      <c r="A25" s="306" t="s">
        <v>365</v>
      </c>
      <c r="B25" s="312" t="s">
        <v>572</v>
      </c>
      <c r="C25" s="306" t="s">
        <v>205</v>
      </c>
      <c r="D25" s="825">
        <v>50</v>
      </c>
      <c r="E25" s="517">
        <v>300000</v>
      </c>
      <c r="F25" s="826">
        <f t="shared" ref="F25:F26" si="6">D25*E25</f>
        <v>15000000</v>
      </c>
      <c r="G25" s="831"/>
      <c r="H25" s="834"/>
      <c r="I25" s="834"/>
    </row>
    <row r="26" spans="1:9" s="356" customFormat="1" ht="20.25" customHeight="1" x14ac:dyDescent="0.25">
      <c r="A26" s="306" t="s">
        <v>366</v>
      </c>
      <c r="B26" s="312" t="s">
        <v>362</v>
      </c>
      <c r="C26" s="306" t="s">
        <v>361</v>
      </c>
      <c r="D26" s="825">
        <v>40</v>
      </c>
      <c r="E26" s="517">
        <v>100000</v>
      </c>
      <c r="F26" s="826">
        <f t="shared" si="6"/>
        <v>4000000</v>
      </c>
      <c r="G26" s="831"/>
      <c r="H26" s="834"/>
      <c r="I26" s="834"/>
    </row>
    <row r="27" spans="1:9" ht="31.5" customHeight="1" x14ac:dyDescent="0.25">
      <c r="A27" s="606" t="s">
        <v>458</v>
      </c>
      <c r="B27" s="821" t="s">
        <v>577</v>
      </c>
      <c r="C27" s="791"/>
      <c r="D27" s="832"/>
      <c r="E27" s="832"/>
      <c r="F27" s="827">
        <f>SUM(F28:F33)</f>
        <v>60600000</v>
      </c>
      <c r="G27" s="791"/>
      <c r="H27" s="834"/>
      <c r="I27" s="834"/>
    </row>
    <row r="28" spans="1:9" ht="36" customHeight="1" x14ac:dyDescent="0.25">
      <c r="A28" s="306" t="s">
        <v>363</v>
      </c>
      <c r="B28" s="787" t="s">
        <v>597</v>
      </c>
      <c r="C28" s="306" t="s">
        <v>37</v>
      </c>
      <c r="D28" s="830">
        <v>5</v>
      </c>
      <c r="E28" s="517">
        <v>2300000</v>
      </c>
      <c r="F28" s="826">
        <f>D28*E28</f>
        <v>11500000</v>
      </c>
      <c r="G28" s="791"/>
      <c r="H28" s="834"/>
      <c r="I28" s="834"/>
    </row>
    <row r="29" spans="1:9" ht="15.75" x14ac:dyDescent="0.25">
      <c r="A29" s="306" t="s">
        <v>364</v>
      </c>
      <c r="B29" s="312" t="s">
        <v>598</v>
      </c>
      <c r="C29" s="306" t="s">
        <v>207</v>
      </c>
      <c r="D29" s="830">
        <v>800</v>
      </c>
      <c r="E29" s="517">
        <v>12000</v>
      </c>
      <c r="F29" s="826">
        <f t="shared" ref="F29" si="7">D29*E29</f>
        <v>9600000</v>
      </c>
      <c r="G29" s="791"/>
      <c r="H29" s="834"/>
      <c r="I29" s="834"/>
    </row>
    <row r="30" spans="1:9" ht="20.25" customHeight="1" x14ac:dyDescent="0.25">
      <c r="A30" s="306" t="s">
        <v>365</v>
      </c>
      <c r="B30" s="312" t="s">
        <v>580</v>
      </c>
      <c r="C30" s="306" t="s">
        <v>203</v>
      </c>
      <c r="D30" s="825">
        <v>65</v>
      </c>
      <c r="E30" s="517">
        <v>200000</v>
      </c>
      <c r="F30" s="826">
        <f>D30*E30</f>
        <v>13000000</v>
      </c>
      <c r="G30" s="791"/>
      <c r="H30" s="834"/>
      <c r="I30" s="834"/>
    </row>
    <row r="31" spans="1:9" ht="20.25" customHeight="1" x14ac:dyDescent="0.25">
      <c r="A31" s="306" t="s">
        <v>366</v>
      </c>
      <c r="B31" s="312" t="s">
        <v>578</v>
      </c>
      <c r="C31" s="306" t="s">
        <v>205</v>
      </c>
      <c r="D31" s="825">
        <v>30</v>
      </c>
      <c r="E31" s="517">
        <v>450000</v>
      </c>
      <c r="F31" s="826">
        <f>D31*E31</f>
        <v>13500000</v>
      </c>
      <c r="G31" s="791"/>
      <c r="H31" s="834"/>
      <c r="I31" s="834"/>
    </row>
    <row r="32" spans="1:9" ht="20.25" customHeight="1" x14ac:dyDescent="0.25">
      <c r="A32" s="306" t="s">
        <v>381</v>
      </c>
      <c r="B32" s="312" t="s">
        <v>579</v>
      </c>
      <c r="C32" s="306" t="s">
        <v>205</v>
      </c>
      <c r="D32" s="825">
        <v>30</v>
      </c>
      <c r="E32" s="517">
        <v>300000</v>
      </c>
      <c r="F32" s="826">
        <f t="shared" ref="F32:F33" si="8">D32*E32</f>
        <v>9000000</v>
      </c>
      <c r="G32" s="791"/>
      <c r="H32" s="834"/>
      <c r="I32" s="834"/>
    </row>
    <row r="33" spans="1:9" ht="20.25" customHeight="1" x14ac:dyDescent="0.25">
      <c r="A33" s="306" t="s">
        <v>515</v>
      </c>
      <c r="B33" s="312" t="s">
        <v>362</v>
      </c>
      <c r="C33" s="306" t="s">
        <v>361</v>
      </c>
      <c r="D33" s="825">
        <v>40</v>
      </c>
      <c r="E33" s="517">
        <v>100000</v>
      </c>
      <c r="F33" s="826">
        <f t="shared" si="8"/>
        <v>4000000</v>
      </c>
      <c r="G33" s="791"/>
      <c r="H33" s="834"/>
      <c r="I33" s="834"/>
    </row>
    <row r="34" spans="1:9" ht="20.25" customHeight="1" x14ac:dyDescent="0.25">
      <c r="A34" s="606" t="s">
        <v>459</v>
      </c>
      <c r="B34" s="821" t="s">
        <v>591</v>
      </c>
      <c r="C34" s="791"/>
      <c r="D34" s="832"/>
      <c r="E34" s="832"/>
      <c r="F34" s="827">
        <f>SUM(F35:F40)</f>
        <v>65700000</v>
      </c>
      <c r="G34" s="606"/>
      <c r="H34" s="834"/>
      <c r="I34" s="834"/>
    </row>
    <row r="35" spans="1:9" ht="29.25" customHeight="1" x14ac:dyDescent="0.25">
      <c r="A35" s="306" t="s">
        <v>363</v>
      </c>
      <c r="B35" s="787" t="s">
        <v>595</v>
      </c>
      <c r="C35" s="306" t="s">
        <v>160</v>
      </c>
      <c r="D35" s="830">
        <v>5</v>
      </c>
      <c r="E35" s="517">
        <v>2300000</v>
      </c>
      <c r="F35" s="826">
        <f>D35*E35</f>
        <v>11500000</v>
      </c>
      <c r="G35" s="791"/>
      <c r="H35" s="834"/>
      <c r="I35" s="834"/>
    </row>
    <row r="36" spans="1:9" ht="15.75" x14ac:dyDescent="0.25">
      <c r="A36" s="306" t="s">
        <v>364</v>
      </c>
      <c r="B36" s="312" t="s">
        <v>596</v>
      </c>
      <c r="C36" s="306" t="s">
        <v>207</v>
      </c>
      <c r="D36" s="830">
        <v>1600</v>
      </c>
      <c r="E36" s="517">
        <v>12000</v>
      </c>
      <c r="F36" s="826">
        <f t="shared" ref="F36" si="9">D36*E36</f>
        <v>19200000</v>
      </c>
      <c r="G36" s="606"/>
      <c r="H36" s="834"/>
      <c r="I36" s="834"/>
    </row>
    <row r="37" spans="1:9" ht="20.25" customHeight="1" x14ac:dyDescent="0.25">
      <c r="A37" s="306" t="s">
        <v>365</v>
      </c>
      <c r="B37" s="312" t="s">
        <v>580</v>
      </c>
      <c r="C37" s="306" t="s">
        <v>203</v>
      </c>
      <c r="D37" s="825">
        <v>65</v>
      </c>
      <c r="E37" s="517">
        <v>200000</v>
      </c>
      <c r="F37" s="826">
        <f t="shared" ref="F37:F40" si="10">D37*E37</f>
        <v>13000000</v>
      </c>
      <c r="G37" s="606"/>
      <c r="H37" s="834"/>
      <c r="I37" s="834"/>
    </row>
    <row r="38" spans="1:9" ht="20.25" customHeight="1" x14ac:dyDescent="0.25">
      <c r="A38" s="306" t="s">
        <v>366</v>
      </c>
      <c r="B38" s="312" t="s">
        <v>581</v>
      </c>
      <c r="C38" s="306" t="s">
        <v>205</v>
      </c>
      <c r="D38" s="825">
        <v>30</v>
      </c>
      <c r="E38" s="517">
        <v>300000</v>
      </c>
      <c r="F38" s="826">
        <f>D38*E38</f>
        <v>9000000</v>
      </c>
      <c r="G38" s="606"/>
      <c r="H38" s="834"/>
      <c r="I38" s="834"/>
    </row>
    <row r="39" spans="1:9" ht="20.25" customHeight="1" x14ac:dyDescent="0.25">
      <c r="A39" s="306" t="s">
        <v>381</v>
      </c>
      <c r="B39" s="312" t="s">
        <v>582</v>
      </c>
      <c r="C39" s="306" t="s">
        <v>205</v>
      </c>
      <c r="D39" s="825">
        <v>30</v>
      </c>
      <c r="E39" s="517">
        <v>300000</v>
      </c>
      <c r="F39" s="826">
        <f t="shared" si="10"/>
        <v>9000000</v>
      </c>
      <c r="G39" s="606"/>
      <c r="H39" s="834"/>
      <c r="I39" s="834"/>
    </row>
    <row r="40" spans="1:9" ht="20.25" customHeight="1" x14ac:dyDescent="0.25">
      <c r="A40" s="833" t="s">
        <v>515</v>
      </c>
      <c r="B40" s="312" t="s">
        <v>362</v>
      </c>
      <c r="C40" s="306" t="s">
        <v>361</v>
      </c>
      <c r="D40" s="825">
        <v>40</v>
      </c>
      <c r="E40" s="517">
        <v>100000</v>
      </c>
      <c r="F40" s="826">
        <f t="shared" si="10"/>
        <v>4000000</v>
      </c>
      <c r="G40" s="606"/>
      <c r="H40" s="834"/>
      <c r="I40" s="834"/>
    </row>
    <row r="41" spans="1:9" ht="39.75" customHeight="1" x14ac:dyDescent="0.25">
      <c r="A41" s="606" t="s">
        <v>460</v>
      </c>
      <c r="B41" s="821" t="s">
        <v>521</v>
      </c>
      <c r="C41" s="791"/>
      <c r="D41" s="832"/>
      <c r="E41" s="832"/>
      <c r="F41" s="827">
        <f>SUM(F42:F47)</f>
        <v>62700000</v>
      </c>
      <c r="G41" s="606"/>
      <c r="H41" s="834"/>
      <c r="I41" s="834"/>
    </row>
    <row r="42" spans="1:9" ht="31.5" x14ac:dyDescent="0.25">
      <c r="A42" s="306" t="s">
        <v>363</v>
      </c>
      <c r="B42" s="787" t="s">
        <v>544</v>
      </c>
      <c r="C42" s="306" t="s">
        <v>160</v>
      </c>
      <c r="D42" s="830">
        <v>5</v>
      </c>
      <c r="E42" s="517">
        <v>3200000</v>
      </c>
      <c r="F42" s="826">
        <f>D42*E42</f>
        <v>16000000</v>
      </c>
      <c r="G42" s="791"/>
      <c r="H42" s="834"/>
      <c r="I42" s="834"/>
    </row>
    <row r="43" spans="1:9" ht="15.75" x14ac:dyDescent="0.25">
      <c r="A43" s="306" t="s">
        <v>364</v>
      </c>
      <c r="B43" s="312" t="s">
        <v>600</v>
      </c>
      <c r="C43" s="306" t="s">
        <v>207</v>
      </c>
      <c r="D43" s="830">
        <v>600</v>
      </c>
      <c r="E43" s="517">
        <v>12000</v>
      </c>
      <c r="F43" s="826">
        <f t="shared" ref="F43" si="11">D43*E43</f>
        <v>7200000</v>
      </c>
      <c r="G43" s="606"/>
      <c r="H43" s="834"/>
      <c r="I43" s="834"/>
    </row>
    <row r="44" spans="1:9" ht="20.25" customHeight="1" x14ac:dyDescent="0.25">
      <c r="A44" s="306" t="s">
        <v>365</v>
      </c>
      <c r="B44" s="312" t="s">
        <v>580</v>
      </c>
      <c r="C44" s="306" t="s">
        <v>203</v>
      </c>
      <c r="D44" s="825">
        <v>65</v>
      </c>
      <c r="E44" s="517">
        <v>200000</v>
      </c>
      <c r="F44" s="826">
        <f>D44*E44</f>
        <v>13000000</v>
      </c>
      <c r="G44" s="606"/>
      <c r="H44" s="834"/>
      <c r="I44" s="834"/>
    </row>
    <row r="45" spans="1:9" ht="20.25" customHeight="1" x14ac:dyDescent="0.25">
      <c r="A45" s="306" t="s">
        <v>366</v>
      </c>
      <c r="B45" s="312" t="s">
        <v>583</v>
      </c>
      <c r="C45" s="306" t="s">
        <v>205</v>
      </c>
      <c r="D45" s="825">
        <v>30</v>
      </c>
      <c r="E45" s="517">
        <v>450000</v>
      </c>
      <c r="F45" s="826">
        <f>D45*E45</f>
        <v>13500000</v>
      </c>
      <c r="G45" s="606"/>
      <c r="H45" s="834"/>
      <c r="I45" s="834"/>
    </row>
    <row r="46" spans="1:9" ht="20.25" customHeight="1" x14ac:dyDescent="0.25">
      <c r="A46" s="306" t="s">
        <v>381</v>
      </c>
      <c r="B46" s="312" t="s">
        <v>584</v>
      </c>
      <c r="C46" s="306" t="s">
        <v>205</v>
      </c>
      <c r="D46" s="825">
        <v>30</v>
      </c>
      <c r="E46" s="517">
        <v>300000</v>
      </c>
      <c r="F46" s="826">
        <f t="shared" ref="F46:F47" si="12">D46*E46</f>
        <v>9000000</v>
      </c>
      <c r="G46" s="606"/>
      <c r="H46" s="834"/>
      <c r="I46" s="834"/>
    </row>
    <row r="47" spans="1:9" ht="20.25" customHeight="1" x14ac:dyDescent="0.25">
      <c r="A47" s="833" t="s">
        <v>515</v>
      </c>
      <c r="B47" s="312" t="s">
        <v>362</v>
      </c>
      <c r="C47" s="306" t="s">
        <v>361</v>
      </c>
      <c r="D47" s="825">
        <v>40</v>
      </c>
      <c r="E47" s="517">
        <v>100000</v>
      </c>
      <c r="F47" s="826">
        <f t="shared" si="12"/>
        <v>4000000</v>
      </c>
      <c r="G47" s="606"/>
      <c r="H47" s="834"/>
      <c r="I47" s="834"/>
    </row>
    <row r="48" spans="1:9" ht="36" customHeight="1" x14ac:dyDescent="0.25">
      <c r="A48" s="606" t="s">
        <v>461</v>
      </c>
      <c r="B48" s="821" t="s">
        <v>590</v>
      </c>
      <c r="C48" s="791"/>
      <c r="D48" s="832"/>
      <c r="E48" s="832"/>
      <c r="F48" s="827">
        <f>SUM(F49:F54)</f>
        <v>65100000</v>
      </c>
      <c r="G48" s="606"/>
      <c r="H48" s="834"/>
      <c r="I48" s="834"/>
    </row>
    <row r="49" spans="1:9" ht="31.5" x14ac:dyDescent="0.25">
      <c r="A49" s="306" t="s">
        <v>363</v>
      </c>
      <c r="B49" s="787" t="s">
        <v>594</v>
      </c>
      <c r="C49" s="306" t="s">
        <v>160</v>
      </c>
      <c r="D49" s="830">
        <v>5</v>
      </c>
      <c r="E49" s="517">
        <v>3200000</v>
      </c>
      <c r="F49" s="826">
        <f>D49*E49</f>
        <v>16000000</v>
      </c>
      <c r="G49" s="791"/>
      <c r="H49" s="834"/>
      <c r="I49" s="834"/>
    </row>
    <row r="50" spans="1:9" ht="15.75" x14ac:dyDescent="0.25">
      <c r="A50" s="306" t="s">
        <v>364</v>
      </c>
      <c r="B50" s="312" t="s">
        <v>601</v>
      </c>
      <c r="C50" s="306" t="s">
        <v>207</v>
      </c>
      <c r="D50" s="830">
        <v>800</v>
      </c>
      <c r="E50" s="517">
        <v>12000</v>
      </c>
      <c r="F50" s="826">
        <f t="shared" ref="F50" si="13">D50*E50</f>
        <v>9600000</v>
      </c>
      <c r="G50" s="791"/>
      <c r="H50" s="834"/>
      <c r="I50" s="834"/>
    </row>
    <row r="51" spans="1:9" ht="20.25" customHeight="1" x14ac:dyDescent="0.25">
      <c r="A51" s="306" t="s">
        <v>365</v>
      </c>
      <c r="B51" s="312" t="s">
        <v>580</v>
      </c>
      <c r="C51" s="306" t="s">
        <v>203</v>
      </c>
      <c r="D51" s="825">
        <v>65</v>
      </c>
      <c r="E51" s="517">
        <v>200000</v>
      </c>
      <c r="F51" s="826">
        <f t="shared" ref="F51:F54" si="14">D51*E51</f>
        <v>13000000</v>
      </c>
      <c r="G51" s="791"/>
      <c r="H51" s="834"/>
      <c r="I51" s="834"/>
    </row>
    <row r="52" spans="1:9" ht="20.25" customHeight="1" x14ac:dyDescent="0.25">
      <c r="A52" s="306" t="s">
        <v>366</v>
      </c>
      <c r="B52" s="312" t="s">
        <v>585</v>
      </c>
      <c r="C52" s="306" t="s">
        <v>205</v>
      </c>
      <c r="D52" s="825">
        <v>30</v>
      </c>
      <c r="E52" s="517">
        <v>450000</v>
      </c>
      <c r="F52" s="826">
        <f t="shared" si="14"/>
        <v>13500000</v>
      </c>
      <c r="G52" s="791"/>
      <c r="H52" s="834"/>
      <c r="I52" s="834"/>
    </row>
    <row r="53" spans="1:9" ht="20.25" customHeight="1" x14ac:dyDescent="0.25">
      <c r="A53" s="306" t="s">
        <v>381</v>
      </c>
      <c r="B53" s="312" t="s">
        <v>586</v>
      </c>
      <c r="C53" s="306" t="s">
        <v>205</v>
      </c>
      <c r="D53" s="825">
        <v>30</v>
      </c>
      <c r="E53" s="517">
        <v>300000</v>
      </c>
      <c r="F53" s="826">
        <f>D53*E53</f>
        <v>9000000</v>
      </c>
      <c r="G53" s="791"/>
      <c r="H53" s="834"/>
      <c r="I53" s="834"/>
    </row>
    <row r="54" spans="1:9" ht="20.25" customHeight="1" x14ac:dyDescent="0.25">
      <c r="A54" s="833" t="s">
        <v>515</v>
      </c>
      <c r="B54" s="312" t="s">
        <v>362</v>
      </c>
      <c r="C54" s="306" t="s">
        <v>361</v>
      </c>
      <c r="D54" s="825">
        <v>40</v>
      </c>
      <c r="E54" s="517">
        <v>100000</v>
      </c>
      <c r="F54" s="826">
        <f t="shared" si="14"/>
        <v>4000000</v>
      </c>
      <c r="G54" s="791"/>
      <c r="H54" s="834"/>
      <c r="I54" s="834"/>
    </row>
  </sheetData>
  <mergeCells count="2">
    <mergeCell ref="A1:G1"/>
    <mergeCell ref="A2:G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3"/>
  <sheetViews>
    <sheetView topLeftCell="A4" workbookViewId="0">
      <selection activeCell="E23" sqref="E23"/>
    </sheetView>
  </sheetViews>
  <sheetFormatPr defaultRowHeight="15" x14ac:dyDescent="0.25"/>
  <cols>
    <col min="1" max="1" width="6" style="29" customWidth="1"/>
    <col min="2" max="2" width="47.85546875" style="29" customWidth="1"/>
    <col min="3" max="3" width="11.7109375" style="29" customWidth="1"/>
    <col min="4" max="4" width="9.5703125" style="29" customWidth="1"/>
    <col min="5" max="5" width="12.28515625" style="29" customWidth="1"/>
    <col min="6" max="6" width="18.28515625" style="29" customWidth="1"/>
    <col min="7" max="9" width="9.140625" style="29"/>
    <col min="10" max="10" width="12.5703125" style="29" bestFit="1" customWidth="1"/>
    <col min="11" max="255" width="9.140625" style="29"/>
    <col min="256" max="256" width="6" style="29" customWidth="1"/>
    <col min="257" max="257" width="46.7109375" style="29" customWidth="1"/>
    <col min="258" max="258" width="11.7109375" style="29" customWidth="1"/>
    <col min="259" max="259" width="9.5703125" style="29" customWidth="1"/>
    <col min="260" max="260" width="12.28515625" style="29" bestFit="1" customWidth="1"/>
    <col min="261" max="261" width="18.28515625" style="29" customWidth="1"/>
    <col min="262" max="511" width="9.140625" style="29"/>
    <col min="512" max="512" width="6" style="29" customWidth="1"/>
    <col min="513" max="513" width="46.7109375" style="29" customWidth="1"/>
    <col min="514" max="514" width="11.7109375" style="29" customWidth="1"/>
    <col min="515" max="515" width="9.5703125" style="29" customWidth="1"/>
    <col min="516" max="516" width="12.28515625" style="29" bestFit="1" customWidth="1"/>
    <col min="517" max="517" width="18.28515625" style="29" customWidth="1"/>
    <col min="518" max="767" width="9.140625" style="29"/>
    <col min="768" max="768" width="6" style="29" customWidth="1"/>
    <col min="769" max="769" width="46.7109375" style="29" customWidth="1"/>
    <col min="770" max="770" width="11.7109375" style="29" customWidth="1"/>
    <col min="771" max="771" width="9.5703125" style="29" customWidth="1"/>
    <col min="772" max="772" width="12.28515625" style="29" bestFit="1" customWidth="1"/>
    <col min="773" max="773" width="18.28515625" style="29" customWidth="1"/>
    <col min="774" max="1023" width="9.140625" style="29"/>
    <col min="1024" max="1024" width="6" style="29" customWidth="1"/>
    <col min="1025" max="1025" width="46.7109375" style="29" customWidth="1"/>
    <col min="1026" max="1026" width="11.7109375" style="29" customWidth="1"/>
    <col min="1027" max="1027" width="9.5703125" style="29" customWidth="1"/>
    <col min="1028" max="1028" width="12.28515625" style="29" bestFit="1" customWidth="1"/>
    <col min="1029" max="1029" width="18.28515625" style="29" customWidth="1"/>
    <col min="1030" max="1279" width="9.140625" style="29"/>
    <col min="1280" max="1280" width="6" style="29" customWidth="1"/>
    <col min="1281" max="1281" width="46.7109375" style="29" customWidth="1"/>
    <col min="1282" max="1282" width="11.7109375" style="29" customWidth="1"/>
    <col min="1283" max="1283" width="9.5703125" style="29" customWidth="1"/>
    <col min="1284" max="1284" width="12.28515625" style="29" bestFit="1" customWidth="1"/>
    <col min="1285" max="1285" width="18.28515625" style="29" customWidth="1"/>
    <col min="1286" max="1535" width="9.140625" style="29"/>
    <col min="1536" max="1536" width="6" style="29" customWidth="1"/>
    <col min="1537" max="1537" width="46.7109375" style="29" customWidth="1"/>
    <col min="1538" max="1538" width="11.7109375" style="29" customWidth="1"/>
    <col min="1539" max="1539" width="9.5703125" style="29" customWidth="1"/>
    <col min="1540" max="1540" width="12.28515625" style="29" bestFit="1" customWidth="1"/>
    <col min="1541" max="1541" width="18.28515625" style="29" customWidth="1"/>
    <col min="1542" max="1791" width="9.140625" style="29"/>
    <col min="1792" max="1792" width="6" style="29" customWidth="1"/>
    <col min="1793" max="1793" width="46.7109375" style="29" customWidth="1"/>
    <col min="1794" max="1794" width="11.7109375" style="29" customWidth="1"/>
    <col min="1795" max="1795" width="9.5703125" style="29" customWidth="1"/>
    <col min="1796" max="1796" width="12.28515625" style="29" bestFit="1" customWidth="1"/>
    <col min="1797" max="1797" width="18.28515625" style="29" customWidth="1"/>
    <col min="1798" max="2047" width="9.140625" style="29"/>
    <col min="2048" max="2048" width="6" style="29" customWidth="1"/>
    <col min="2049" max="2049" width="46.7109375" style="29" customWidth="1"/>
    <col min="2050" max="2050" width="11.7109375" style="29" customWidth="1"/>
    <col min="2051" max="2051" width="9.5703125" style="29" customWidth="1"/>
    <col min="2052" max="2052" width="12.28515625" style="29" bestFit="1" customWidth="1"/>
    <col min="2053" max="2053" width="18.28515625" style="29" customWidth="1"/>
    <col min="2054" max="2303" width="9.140625" style="29"/>
    <col min="2304" max="2304" width="6" style="29" customWidth="1"/>
    <col min="2305" max="2305" width="46.7109375" style="29" customWidth="1"/>
    <col min="2306" max="2306" width="11.7109375" style="29" customWidth="1"/>
    <col min="2307" max="2307" width="9.5703125" style="29" customWidth="1"/>
    <col min="2308" max="2308" width="12.28515625" style="29" bestFit="1" customWidth="1"/>
    <col min="2309" max="2309" width="18.28515625" style="29" customWidth="1"/>
    <col min="2310" max="2559" width="9.140625" style="29"/>
    <col min="2560" max="2560" width="6" style="29" customWidth="1"/>
    <col min="2561" max="2561" width="46.7109375" style="29" customWidth="1"/>
    <col min="2562" max="2562" width="11.7109375" style="29" customWidth="1"/>
    <col min="2563" max="2563" width="9.5703125" style="29" customWidth="1"/>
    <col min="2564" max="2564" width="12.28515625" style="29" bestFit="1" customWidth="1"/>
    <col min="2565" max="2565" width="18.28515625" style="29" customWidth="1"/>
    <col min="2566" max="2815" width="9.140625" style="29"/>
    <col min="2816" max="2816" width="6" style="29" customWidth="1"/>
    <col min="2817" max="2817" width="46.7109375" style="29" customWidth="1"/>
    <col min="2818" max="2818" width="11.7109375" style="29" customWidth="1"/>
    <col min="2819" max="2819" width="9.5703125" style="29" customWidth="1"/>
    <col min="2820" max="2820" width="12.28515625" style="29" bestFit="1" customWidth="1"/>
    <col min="2821" max="2821" width="18.28515625" style="29" customWidth="1"/>
    <col min="2822" max="3071" width="9.140625" style="29"/>
    <col min="3072" max="3072" width="6" style="29" customWidth="1"/>
    <col min="3073" max="3073" width="46.7109375" style="29" customWidth="1"/>
    <col min="3074" max="3074" width="11.7109375" style="29" customWidth="1"/>
    <col min="3075" max="3075" width="9.5703125" style="29" customWidth="1"/>
    <col min="3076" max="3076" width="12.28515625" style="29" bestFit="1" customWidth="1"/>
    <col min="3077" max="3077" width="18.28515625" style="29" customWidth="1"/>
    <col min="3078" max="3327" width="9.140625" style="29"/>
    <col min="3328" max="3328" width="6" style="29" customWidth="1"/>
    <col min="3329" max="3329" width="46.7109375" style="29" customWidth="1"/>
    <col min="3330" max="3330" width="11.7109375" style="29" customWidth="1"/>
    <col min="3331" max="3331" width="9.5703125" style="29" customWidth="1"/>
    <col min="3332" max="3332" width="12.28515625" style="29" bestFit="1" customWidth="1"/>
    <col min="3333" max="3333" width="18.28515625" style="29" customWidth="1"/>
    <col min="3334" max="3583" width="9.140625" style="29"/>
    <col min="3584" max="3584" width="6" style="29" customWidth="1"/>
    <col min="3585" max="3585" width="46.7109375" style="29" customWidth="1"/>
    <col min="3586" max="3586" width="11.7109375" style="29" customWidth="1"/>
    <col min="3587" max="3587" width="9.5703125" style="29" customWidth="1"/>
    <col min="3588" max="3588" width="12.28515625" style="29" bestFit="1" customWidth="1"/>
    <col min="3589" max="3589" width="18.28515625" style="29" customWidth="1"/>
    <col min="3590" max="3839" width="9.140625" style="29"/>
    <col min="3840" max="3840" width="6" style="29" customWidth="1"/>
    <col min="3841" max="3841" width="46.7109375" style="29" customWidth="1"/>
    <col min="3842" max="3842" width="11.7109375" style="29" customWidth="1"/>
    <col min="3843" max="3843" width="9.5703125" style="29" customWidth="1"/>
    <col min="3844" max="3844" width="12.28515625" style="29" bestFit="1" customWidth="1"/>
    <col min="3845" max="3845" width="18.28515625" style="29" customWidth="1"/>
    <col min="3846" max="4095" width="9.140625" style="29"/>
    <col min="4096" max="4096" width="6" style="29" customWidth="1"/>
    <col min="4097" max="4097" width="46.7109375" style="29" customWidth="1"/>
    <col min="4098" max="4098" width="11.7109375" style="29" customWidth="1"/>
    <col min="4099" max="4099" width="9.5703125" style="29" customWidth="1"/>
    <col min="4100" max="4100" width="12.28515625" style="29" bestFit="1" customWidth="1"/>
    <col min="4101" max="4101" width="18.28515625" style="29" customWidth="1"/>
    <col min="4102" max="4351" width="9.140625" style="29"/>
    <col min="4352" max="4352" width="6" style="29" customWidth="1"/>
    <col min="4353" max="4353" width="46.7109375" style="29" customWidth="1"/>
    <col min="4354" max="4354" width="11.7109375" style="29" customWidth="1"/>
    <col min="4355" max="4355" width="9.5703125" style="29" customWidth="1"/>
    <col min="4356" max="4356" width="12.28515625" style="29" bestFit="1" customWidth="1"/>
    <col min="4357" max="4357" width="18.28515625" style="29" customWidth="1"/>
    <col min="4358" max="4607" width="9.140625" style="29"/>
    <col min="4608" max="4608" width="6" style="29" customWidth="1"/>
    <col min="4609" max="4609" width="46.7109375" style="29" customWidth="1"/>
    <col min="4610" max="4610" width="11.7109375" style="29" customWidth="1"/>
    <col min="4611" max="4611" width="9.5703125" style="29" customWidth="1"/>
    <col min="4612" max="4612" width="12.28515625" style="29" bestFit="1" customWidth="1"/>
    <col min="4613" max="4613" width="18.28515625" style="29" customWidth="1"/>
    <col min="4614" max="4863" width="9.140625" style="29"/>
    <col min="4864" max="4864" width="6" style="29" customWidth="1"/>
    <col min="4865" max="4865" width="46.7109375" style="29" customWidth="1"/>
    <col min="4866" max="4866" width="11.7109375" style="29" customWidth="1"/>
    <col min="4867" max="4867" width="9.5703125" style="29" customWidth="1"/>
    <col min="4868" max="4868" width="12.28515625" style="29" bestFit="1" customWidth="1"/>
    <col min="4869" max="4869" width="18.28515625" style="29" customWidth="1"/>
    <col min="4870" max="5119" width="9.140625" style="29"/>
    <col min="5120" max="5120" width="6" style="29" customWidth="1"/>
    <col min="5121" max="5121" width="46.7109375" style="29" customWidth="1"/>
    <col min="5122" max="5122" width="11.7109375" style="29" customWidth="1"/>
    <col min="5123" max="5123" width="9.5703125" style="29" customWidth="1"/>
    <col min="5124" max="5124" width="12.28515625" style="29" bestFit="1" customWidth="1"/>
    <col min="5125" max="5125" width="18.28515625" style="29" customWidth="1"/>
    <col min="5126" max="5375" width="9.140625" style="29"/>
    <col min="5376" max="5376" width="6" style="29" customWidth="1"/>
    <col min="5377" max="5377" width="46.7109375" style="29" customWidth="1"/>
    <col min="5378" max="5378" width="11.7109375" style="29" customWidth="1"/>
    <col min="5379" max="5379" width="9.5703125" style="29" customWidth="1"/>
    <col min="5380" max="5380" width="12.28515625" style="29" bestFit="1" customWidth="1"/>
    <col min="5381" max="5381" width="18.28515625" style="29" customWidth="1"/>
    <col min="5382" max="5631" width="9.140625" style="29"/>
    <col min="5632" max="5632" width="6" style="29" customWidth="1"/>
    <col min="5633" max="5633" width="46.7109375" style="29" customWidth="1"/>
    <col min="5634" max="5634" width="11.7109375" style="29" customWidth="1"/>
    <col min="5635" max="5635" width="9.5703125" style="29" customWidth="1"/>
    <col min="5636" max="5636" width="12.28515625" style="29" bestFit="1" customWidth="1"/>
    <col min="5637" max="5637" width="18.28515625" style="29" customWidth="1"/>
    <col min="5638" max="5887" width="9.140625" style="29"/>
    <col min="5888" max="5888" width="6" style="29" customWidth="1"/>
    <col min="5889" max="5889" width="46.7109375" style="29" customWidth="1"/>
    <col min="5890" max="5890" width="11.7109375" style="29" customWidth="1"/>
    <col min="5891" max="5891" width="9.5703125" style="29" customWidth="1"/>
    <col min="5892" max="5892" width="12.28515625" style="29" bestFit="1" customWidth="1"/>
    <col min="5893" max="5893" width="18.28515625" style="29" customWidth="1"/>
    <col min="5894" max="6143" width="9.140625" style="29"/>
    <col min="6144" max="6144" width="6" style="29" customWidth="1"/>
    <col min="6145" max="6145" width="46.7109375" style="29" customWidth="1"/>
    <col min="6146" max="6146" width="11.7109375" style="29" customWidth="1"/>
    <col min="6147" max="6147" width="9.5703125" style="29" customWidth="1"/>
    <col min="6148" max="6148" width="12.28515625" style="29" bestFit="1" customWidth="1"/>
    <col min="6149" max="6149" width="18.28515625" style="29" customWidth="1"/>
    <col min="6150" max="6399" width="9.140625" style="29"/>
    <col min="6400" max="6400" width="6" style="29" customWidth="1"/>
    <col min="6401" max="6401" width="46.7109375" style="29" customWidth="1"/>
    <col min="6402" max="6402" width="11.7109375" style="29" customWidth="1"/>
    <col min="6403" max="6403" width="9.5703125" style="29" customWidth="1"/>
    <col min="6404" max="6404" width="12.28515625" style="29" bestFit="1" customWidth="1"/>
    <col min="6405" max="6405" width="18.28515625" style="29" customWidth="1"/>
    <col min="6406" max="6655" width="9.140625" style="29"/>
    <col min="6656" max="6656" width="6" style="29" customWidth="1"/>
    <col min="6657" max="6657" width="46.7109375" style="29" customWidth="1"/>
    <col min="6658" max="6658" width="11.7109375" style="29" customWidth="1"/>
    <col min="6659" max="6659" width="9.5703125" style="29" customWidth="1"/>
    <col min="6660" max="6660" width="12.28515625" style="29" bestFit="1" customWidth="1"/>
    <col min="6661" max="6661" width="18.28515625" style="29" customWidth="1"/>
    <col min="6662" max="6911" width="9.140625" style="29"/>
    <col min="6912" max="6912" width="6" style="29" customWidth="1"/>
    <col min="6913" max="6913" width="46.7109375" style="29" customWidth="1"/>
    <col min="6914" max="6914" width="11.7109375" style="29" customWidth="1"/>
    <col min="6915" max="6915" width="9.5703125" style="29" customWidth="1"/>
    <col min="6916" max="6916" width="12.28515625" style="29" bestFit="1" customWidth="1"/>
    <col min="6917" max="6917" width="18.28515625" style="29" customWidth="1"/>
    <col min="6918" max="7167" width="9.140625" style="29"/>
    <col min="7168" max="7168" width="6" style="29" customWidth="1"/>
    <col min="7169" max="7169" width="46.7109375" style="29" customWidth="1"/>
    <col min="7170" max="7170" width="11.7109375" style="29" customWidth="1"/>
    <col min="7171" max="7171" width="9.5703125" style="29" customWidth="1"/>
    <col min="7172" max="7172" width="12.28515625" style="29" bestFit="1" customWidth="1"/>
    <col min="7173" max="7173" width="18.28515625" style="29" customWidth="1"/>
    <col min="7174" max="7423" width="9.140625" style="29"/>
    <col min="7424" max="7424" width="6" style="29" customWidth="1"/>
    <col min="7425" max="7425" width="46.7109375" style="29" customWidth="1"/>
    <col min="7426" max="7426" width="11.7109375" style="29" customWidth="1"/>
    <col min="7427" max="7427" width="9.5703125" style="29" customWidth="1"/>
    <col min="7428" max="7428" width="12.28515625" style="29" bestFit="1" customWidth="1"/>
    <col min="7429" max="7429" width="18.28515625" style="29" customWidth="1"/>
    <col min="7430" max="7679" width="9.140625" style="29"/>
    <col min="7680" max="7680" width="6" style="29" customWidth="1"/>
    <col min="7681" max="7681" width="46.7109375" style="29" customWidth="1"/>
    <col min="7682" max="7682" width="11.7109375" style="29" customWidth="1"/>
    <col min="7683" max="7683" width="9.5703125" style="29" customWidth="1"/>
    <col min="7684" max="7684" width="12.28515625" style="29" bestFit="1" customWidth="1"/>
    <col min="7685" max="7685" width="18.28515625" style="29" customWidth="1"/>
    <col min="7686" max="7935" width="9.140625" style="29"/>
    <col min="7936" max="7936" width="6" style="29" customWidth="1"/>
    <col min="7937" max="7937" width="46.7109375" style="29" customWidth="1"/>
    <col min="7938" max="7938" width="11.7109375" style="29" customWidth="1"/>
    <col min="7939" max="7939" width="9.5703125" style="29" customWidth="1"/>
    <col min="7940" max="7940" width="12.28515625" style="29" bestFit="1" customWidth="1"/>
    <col min="7941" max="7941" width="18.28515625" style="29" customWidth="1"/>
    <col min="7942" max="8191" width="9.140625" style="29"/>
    <col min="8192" max="8192" width="6" style="29" customWidth="1"/>
    <col min="8193" max="8193" width="46.7109375" style="29" customWidth="1"/>
    <col min="8194" max="8194" width="11.7109375" style="29" customWidth="1"/>
    <col min="8195" max="8195" width="9.5703125" style="29" customWidth="1"/>
    <col min="8196" max="8196" width="12.28515625" style="29" bestFit="1" customWidth="1"/>
    <col min="8197" max="8197" width="18.28515625" style="29" customWidth="1"/>
    <col min="8198" max="8447" width="9.140625" style="29"/>
    <col min="8448" max="8448" width="6" style="29" customWidth="1"/>
    <col min="8449" max="8449" width="46.7109375" style="29" customWidth="1"/>
    <col min="8450" max="8450" width="11.7109375" style="29" customWidth="1"/>
    <col min="8451" max="8451" width="9.5703125" style="29" customWidth="1"/>
    <col min="8452" max="8452" width="12.28515625" style="29" bestFit="1" customWidth="1"/>
    <col min="8453" max="8453" width="18.28515625" style="29" customWidth="1"/>
    <col min="8454" max="8703" width="9.140625" style="29"/>
    <col min="8704" max="8704" width="6" style="29" customWidth="1"/>
    <col min="8705" max="8705" width="46.7109375" style="29" customWidth="1"/>
    <col min="8706" max="8706" width="11.7109375" style="29" customWidth="1"/>
    <col min="8707" max="8707" width="9.5703125" style="29" customWidth="1"/>
    <col min="8708" max="8708" width="12.28515625" style="29" bestFit="1" customWidth="1"/>
    <col min="8709" max="8709" width="18.28515625" style="29" customWidth="1"/>
    <col min="8710" max="8959" width="9.140625" style="29"/>
    <col min="8960" max="8960" width="6" style="29" customWidth="1"/>
    <col min="8961" max="8961" width="46.7109375" style="29" customWidth="1"/>
    <col min="8962" max="8962" width="11.7109375" style="29" customWidth="1"/>
    <col min="8963" max="8963" width="9.5703125" style="29" customWidth="1"/>
    <col min="8964" max="8964" width="12.28515625" style="29" bestFit="1" customWidth="1"/>
    <col min="8965" max="8965" width="18.28515625" style="29" customWidth="1"/>
    <col min="8966" max="9215" width="9.140625" style="29"/>
    <col min="9216" max="9216" width="6" style="29" customWidth="1"/>
    <col min="9217" max="9217" width="46.7109375" style="29" customWidth="1"/>
    <col min="9218" max="9218" width="11.7109375" style="29" customWidth="1"/>
    <col min="9219" max="9219" width="9.5703125" style="29" customWidth="1"/>
    <col min="9220" max="9220" width="12.28515625" style="29" bestFit="1" customWidth="1"/>
    <col min="9221" max="9221" width="18.28515625" style="29" customWidth="1"/>
    <col min="9222" max="9471" width="9.140625" style="29"/>
    <col min="9472" max="9472" width="6" style="29" customWidth="1"/>
    <col min="9473" max="9473" width="46.7109375" style="29" customWidth="1"/>
    <col min="9474" max="9474" width="11.7109375" style="29" customWidth="1"/>
    <col min="9475" max="9475" width="9.5703125" style="29" customWidth="1"/>
    <col min="9476" max="9476" width="12.28515625" style="29" bestFit="1" customWidth="1"/>
    <col min="9477" max="9477" width="18.28515625" style="29" customWidth="1"/>
    <col min="9478" max="9727" width="9.140625" style="29"/>
    <col min="9728" max="9728" width="6" style="29" customWidth="1"/>
    <col min="9729" max="9729" width="46.7109375" style="29" customWidth="1"/>
    <col min="9730" max="9730" width="11.7109375" style="29" customWidth="1"/>
    <col min="9731" max="9731" width="9.5703125" style="29" customWidth="1"/>
    <col min="9732" max="9732" width="12.28515625" style="29" bestFit="1" customWidth="1"/>
    <col min="9733" max="9733" width="18.28515625" style="29" customWidth="1"/>
    <col min="9734" max="9983" width="9.140625" style="29"/>
    <col min="9984" max="9984" width="6" style="29" customWidth="1"/>
    <col min="9985" max="9985" width="46.7109375" style="29" customWidth="1"/>
    <col min="9986" max="9986" width="11.7109375" style="29" customWidth="1"/>
    <col min="9987" max="9987" width="9.5703125" style="29" customWidth="1"/>
    <col min="9988" max="9988" width="12.28515625" style="29" bestFit="1" customWidth="1"/>
    <col min="9989" max="9989" width="18.28515625" style="29" customWidth="1"/>
    <col min="9990" max="10239" width="9.140625" style="29"/>
    <col min="10240" max="10240" width="6" style="29" customWidth="1"/>
    <col min="10241" max="10241" width="46.7109375" style="29" customWidth="1"/>
    <col min="10242" max="10242" width="11.7109375" style="29" customWidth="1"/>
    <col min="10243" max="10243" width="9.5703125" style="29" customWidth="1"/>
    <col min="10244" max="10244" width="12.28515625" style="29" bestFit="1" customWidth="1"/>
    <col min="10245" max="10245" width="18.28515625" style="29" customWidth="1"/>
    <col min="10246" max="10495" width="9.140625" style="29"/>
    <col min="10496" max="10496" width="6" style="29" customWidth="1"/>
    <col min="10497" max="10497" width="46.7109375" style="29" customWidth="1"/>
    <col min="10498" max="10498" width="11.7109375" style="29" customWidth="1"/>
    <col min="10499" max="10499" width="9.5703125" style="29" customWidth="1"/>
    <col min="10500" max="10500" width="12.28515625" style="29" bestFit="1" customWidth="1"/>
    <col min="10501" max="10501" width="18.28515625" style="29" customWidth="1"/>
    <col min="10502" max="10751" width="9.140625" style="29"/>
    <col min="10752" max="10752" width="6" style="29" customWidth="1"/>
    <col min="10753" max="10753" width="46.7109375" style="29" customWidth="1"/>
    <col min="10754" max="10754" width="11.7109375" style="29" customWidth="1"/>
    <col min="10755" max="10755" width="9.5703125" style="29" customWidth="1"/>
    <col min="10756" max="10756" width="12.28515625" style="29" bestFit="1" customWidth="1"/>
    <col min="10757" max="10757" width="18.28515625" style="29" customWidth="1"/>
    <col min="10758" max="11007" width="9.140625" style="29"/>
    <col min="11008" max="11008" width="6" style="29" customWidth="1"/>
    <col min="11009" max="11009" width="46.7109375" style="29" customWidth="1"/>
    <col min="11010" max="11010" width="11.7109375" style="29" customWidth="1"/>
    <col min="11011" max="11011" width="9.5703125" style="29" customWidth="1"/>
    <col min="11012" max="11012" width="12.28515625" style="29" bestFit="1" customWidth="1"/>
    <col min="11013" max="11013" width="18.28515625" style="29" customWidth="1"/>
    <col min="11014" max="11263" width="9.140625" style="29"/>
    <col min="11264" max="11264" width="6" style="29" customWidth="1"/>
    <col min="11265" max="11265" width="46.7109375" style="29" customWidth="1"/>
    <col min="11266" max="11266" width="11.7109375" style="29" customWidth="1"/>
    <col min="11267" max="11267" width="9.5703125" style="29" customWidth="1"/>
    <col min="11268" max="11268" width="12.28515625" style="29" bestFit="1" customWidth="1"/>
    <col min="11269" max="11269" width="18.28515625" style="29" customWidth="1"/>
    <col min="11270" max="11519" width="9.140625" style="29"/>
    <col min="11520" max="11520" width="6" style="29" customWidth="1"/>
    <col min="11521" max="11521" width="46.7109375" style="29" customWidth="1"/>
    <col min="11522" max="11522" width="11.7109375" style="29" customWidth="1"/>
    <col min="11523" max="11523" width="9.5703125" style="29" customWidth="1"/>
    <col min="11524" max="11524" width="12.28515625" style="29" bestFit="1" customWidth="1"/>
    <col min="11525" max="11525" width="18.28515625" style="29" customWidth="1"/>
    <col min="11526" max="11775" width="9.140625" style="29"/>
    <col min="11776" max="11776" width="6" style="29" customWidth="1"/>
    <col min="11777" max="11777" width="46.7109375" style="29" customWidth="1"/>
    <col min="11778" max="11778" width="11.7109375" style="29" customWidth="1"/>
    <col min="11779" max="11779" width="9.5703125" style="29" customWidth="1"/>
    <col min="11780" max="11780" width="12.28515625" style="29" bestFit="1" customWidth="1"/>
    <col min="11781" max="11781" width="18.28515625" style="29" customWidth="1"/>
    <col min="11782" max="12031" width="9.140625" style="29"/>
    <col min="12032" max="12032" width="6" style="29" customWidth="1"/>
    <col min="12033" max="12033" width="46.7109375" style="29" customWidth="1"/>
    <col min="12034" max="12034" width="11.7109375" style="29" customWidth="1"/>
    <col min="12035" max="12035" width="9.5703125" style="29" customWidth="1"/>
    <col min="12036" max="12036" width="12.28515625" style="29" bestFit="1" customWidth="1"/>
    <col min="12037" max="12037" width="18.28515625" style="29" customWidth="1"/>
    <col min="12038" max="12287" width="9.140625" style="29"/>
    <col min="12288" max="12288" width="6" style="29" customWidth="1"/>
    <col min="12289" max="12289" width="46.7109375" style="29" customWidth="1"/>
    <col min="12290" max="12290" width="11.7109375" style="29" customWidth="1"/>
    <col min="12291" max="12291" width="9.5703125" style="29" customWidth="1"/>
    <col min="12292" max="12292" width="12.28515625" style="29" bestFit="1" customWidth="1"/>
    <col min="12293" max="12293" width="18.28515625" style="29" customWidth="1"/>
    <col min="12294" max="12543" width="9.140625" style="29"/>
    <col min="12544" max="12544" width="6" style="29" customWidth="1"/>
    <col min="12545" max="12545" width="46.7109375" style="29" customWidth="1"/>
    <col min="12546" max="12546" width="11.7109375" style="29" customWidth="1"/>
    <col min="12547" max="12547" width="9.5703125" style="29" customWidth="1"/>
    <col min="12548" max="12548" width="12.28515625" style="29" bestFit="1" customWidth="1"/>
    <col min="12549" max="12549" width="18.28515625" style="29" customWidth="1"/>
    <col min="12550" max="12799" width="9.140625" style="29"/>
    <col min="12800" max="12800" width="6" style="29" customWidth="1"/>
    <col min="12801" max="12801" width="46.7109375" style="29" customWidth="1"/>
    <col min="12802" max="12802" width="11.7109375" style="29" customWidth="1"/>
    <col min="12803" max="12803" width="9.5703125" style="29" customWidth="1"/>
    <col min="12804" max="12804" width="12.28515625" style="29" bestFit="1" customWidth="1"/>
    <col min="12805" max="12805" width="18.28515625" style="29" customWidth="1"/>
    <col min="12806" max="13055" width="9.140625" style="29"/>
    <col min="13056" max="13056" width="6" style="29" customWidth="1"/>
    <col min="13057" max="13057" width="46.7109375" style="29" customWidth="1"/>
    <col min="13058" max="13058" width="11.7109375" style="29" customWidth="1"/>
    <col min="13059" max="13059" width="9.5703125" style="29" customWidth="1"/>
    <col min="13060" max="13060" width="12.28515625" style="29" bestFit="1" customWidth="1"/>
    <col min="13061" max="13061" width="18.28515625" style="29" customWidth="1"/>
    <col min="13062" max="13311" width="9.140625" style="29"/>
    <col min="13312" max="13312" width="6" style="29" customWidth="1"/>
    <col min="13313" max="13313" width="46.7109375" style="29" customWidth="1"/>
    <col min="13314" max="13314" width="11.7109375" style="29" customWidth="1"/>
    <col min="13315" max="13315" width="9.5703125" style="29" customWidth="1"/>
    <col min="13316" max="13316" width="12.28515625" style="29" bestFit="1" customWidth="1"/>
    <col min="13317" max="13317" width="18.28515625" style="29" customWidth="1"/>
    <col min="13318" max="13567" width="9.140625" style="29"/>
    <col min="13568" max="13568" width="6" style="29" customWidth="1"/>
    <col min="13569" max="13569" width="46.7109375" style="29" customWidth="1"/>
    <col min="13570" max="13570" width="11.7109375" style="29" customWidth="1"/>
    <col min="13571" max="13571" width="9.5703125" style="29" customWidth="1"/>
    <col min="13572" max="13572" width="12.28515625" style="29" bestFit="1" customWidth="1"/>
    <col min="13573" max="13573" width="18.28515625" style="29" customWidth="1"/>
    <col min="13574" max="13823" width="9.140625" style="29"/>
    <col min="13824" max="13824" width="6" style="29" customWidth="1"/>
    <col min="13825" max="13825" width="46.7109375" style="29" customWidth="1"/>
    <col min="13826" max="13826" width="11.7109375" style="29" customWidth="1"/>
    <col min="13827" max="13827" width="9.5703125" style="29" customWidth="1"/>
    <col min="13828" max="13828" width="12.28515625" style="29" bestFit="1" customWidth="1"/>
    <col min="13829" max="13829" width="18.28515625" style="29" customWidth="1"/>
    <col min="13830" max="14079" width="9.140625" style="29"/>
    <col min="14080" max="14080" width="6" style="29" customWidth="1"/>
    <col min="14081" max="14081" width="46.7109375" style="29" customWidth="1"/>
    <col min="14082" max="14082" width="11.7109375" style="29" customWidth="1"/>
    <col min="14083" max="14083" width="9.5703125" style="29" customWidth="1"/>
    <col min="14084" max="14084" width="12.28515625" style="29" bestFit="1" customWidth="1"/>
    <col min="14085" max="14085" width="18.28515625" style="29" customWidth="1"/>
    <col min="14086" max="14335" width="9.140625" style="29"/>
    <col min="14336" max="14336" width="6" style="29" customWidth="1"/>
    <col min="14337" max="14337" width="46.7109375" style="29" customWidth="1"/>
    <col min="14338" max="14338" width="11.7109375" style="29" customWidth="1"/>
    <col min="14339" max="14339" width="9.5703125" style="29" customWidth="1"/>
    <col min="14340" max="14340" width="12.28515625" style="29" bestFit="1" customWidth="1"/>
    <col min="14341" max="14341" width="18.28515625" style="29" customWidth="1"/>
    <col min="14342" max="14591" width="9.140625" style="29"/>
    <col min="14592" max="14592" width="6" style="29" customWidth="1"/>
    <col min="14593" max="14593" width="46.7109375" style="29" customWidth="1"/>
    <col min="14594" max="14594" width="11.7109375" style="29" customWidth="1"/>
    <col min="14595" max="14595" width="9.5703125" style="29" customWidth="1"/>
    <col min="14596" max="14596" width="12.28515625" style="29" bestFit="1" customWidth="1"/>
    <col min="14597" max="14597" width="18.28515625" style="29" customWidth="1"/>
    <col min="14598" max="14847" width="9.140625" style="29"/>
    <col min="14848" max="14848" width="6" style="29" customWidth="1"/>
    <col min="14849" max="14849" width="46.7109375" style="29" customWidth="1"/>
    <col min="14850" max="14850" width="11.7109375" style="29" customWidth="1"/>
    <col min="14851" max="14851" width="9.5703125" style="29" customWidth="1"/>
    <col min="14852" max="14852" width="12.28515625" style="29" bestFit="1" customWidth="1"/>
    <col min="14853" max="14853" width="18.28515625" style="29" customWidth="1"/>
    <col min="14854" max="15103" width="9.140625" style="29"/>
    <col min="15104" max="15104" width="6" style="29" customWidth="1"/>
    <col min="15105" max="15105" width="46.7109375" style="29" customWidth="1"/>
    <col min="15106" max="15106" width="11.7109375" style="29" customWidth="1"/>
    <col min="15107" max="15107" width="9.5703125" style="29" customWidth="1"/>
    <col min="15108" max="15108" width="12.28515625" style="29" bestFit="1" customWidth="1"/>
    <col min="15109" max="15109" width="18.28515625" style="29" customWidth="1"/>
    <col min="15110" max="15359" width="9.140625" style="29"/>
    <col min="15360" max="15360" width="6" style="29" customWidth="1"/>
    <col min="15361" max="15361" width="46.7109375" style="29" customWidth="1"/>
    <col min="15362" max="15362" width="11.7109375" style="29" customWidth="1"/>
    <col min="15363" max="15363" width="9.5703125" style="29" customWidth="1"/>
    <col min="15364" max="15364" width="12.28515625" style="29" bestFit="1" customWidth="1"/>
    <col min="15365" max="15365" width="18.28515625" style="29" customWidth="1"/>
    <col min="15366" max="15615" width="9.140625" style="29"/>
    <col min="15616" max="15616" width="6" style="29" customWidth="1"/>
    <col min="15617" max="15617" width="46.7109375" style="29" customWidth="1"/>
    <col min="15618" max="15618" width="11.7109375" style="29" customWidth="1"/>
    <col min="15619" max="15619" width="9.5703125" style="29" customWidth="1"/>
    <col min="15620" max="15620" width="12.28515625" style="29" bestFit="1" customWidth="1"/>
    <col min="15621" max="15621" width="18.28515625" style="29" customWidth="1"/>
    <col min="15622" max="15871" width="9.140625" style="29"/>
    <col min="15872" max="15872" width="6" style="29" customWidth="1"/>
    <col min="15873" max="15873" width="46.7109375" style="29" customWidth="1"/>
    <col min="15874" max="15874" width="11.7109375" style="29" customWidth="1"/>
    <col min="15875" max="15875" width="9.5703125" style="29" customWidth="1"/>
    <col min="15876" max="15876" width="12.28515625" style="29" bestFit="1" customWidth="1"/>
    <col min="15877" max="15877" width="18.28515625" style="29" customWidth="1"/>
    <col min="15878" max="16127" width="9.140625" style="29"/>
    <col min="16128" max="16128" width="6" style="29" customWidth="1"/>
    <col min="16129" max="16129" width="46.7109375" style="29" customWidth="1"/>
    <col min="16130" max="16130" width="11.7109375" style="29" customWidth="1"/>
    <col min="16131" max="16131" width="9.5703125" style="29" customWidth="1"/>
    <col min="16132" max="16132" width="12.28515625" style="29" bestFit="1" customWidth="1"/>
    <col min="16133" max="16133" width="18.28515625" style="29" customWidth="1"/>
    <col min="16134" max="16384" width="9.140625" style="29"/>
  </cols>
  <sheetData>
    <row r="1" spans="1:6" ht="29.25" customHeight="1" x14ac:dyDescent="0.25">
      <c r="A1" s="1137" t="s">
        <v>663</v>
      </c>
      <c r="B1" s="1137"/>
      <c r="C1" s="1137"/>
      <c r="D1" s="1137"/>
      <c r="E1" s="1137"/>
      <c r="F1" s="1137"/>
    </row>
    <row r="2" spans="1:6" ht="29.25" customHeight="1" x14ac:dyDescent="0.25">
      <c r="A2" s="986" t="s">
        <v>0</v>
      </c>
      <c r="B2" s="986" t="s">
        <v>153</v>
      </c>
      <c r="C2" s="986" t="s">
        <v>224</v>
      </c>
      <c r="D2" s="987" t="s">
        <v>2</v>
      </c>
      <c r="E2" s="986" t="s">
        <v>3</v>
      </c>
      <c r="F2" s="986" t="s">
        <v>197</v>
      </c>
    </row>
    <row r="3" spans="1:6" ht="15.75" x14ac:dyDescent="0.25">
      <c r="A3" s="26"/>
      <c r="B3" s="601" t="s">
        <v>568</v>
      </c>
      <c r="C3" s="26"/>
      <c r="D3" s="974"/>
      <c r="E3" s="975"/>
      <c r="F3" s="976">
        <f>F4+F12+F25</f>
        <v>187300000</v>
      </c>
    </row>
    <row r="4" spans="1:6" ht="63" x14ac:dyDescent="0.25">
      <c r="A4" s="26">
        <v>1</v>
      </c>
      <c r="B4" s="988" t="s">
        <v>714</v>
      </c>
      <c r="C4" s="26"/>
      <c r="D4" s="974"/>
      <c r="E4" s="975"/>
      <c r="F4" s="976">
        <f>SUM(F5:F11)</f>
        <v>48600000</v>
      </c>
    </row>
    <row r="5" spans="1:6" ht="15.75" x14ac:dyDescent="0.25">
      <c r="A5" s="518"/>
      <c r="B5" s="519" t="s">
        <v>103</v>
      </c>
      <c r="C5" s="518" t="s">
        <v>421</v>
      </c>
      <c r="D5" s="977">
        <v>2</v>
      </c>
      <c r="E5" s="978">
        <v>900000</v>
      </c>
      <c r="F5" s="979">
        <f t="shared" ref="F5:F11" si="0">D5*E5</f>
        <v>1800000</v>
      </c>
    </row>
    <row r="6" spans="1:6" ht="15.75" x14ac:dyDescent="0.25">
      <c r="A6" s="518"/>
      <c r="B6" s="519" t="s">
        <v>171</v>
      </c>
      <c r="C6" s="518" t="s">
        <v>421</v>
      </c>
      <c r="D6" s="977">
        <v>2</v>
      </c>
      <c r="E6" s="612">
        <v>300000</v>
      </c>
      <c r="F6" s="980">
        <f t="shared" si="0"/>
        <v>600000</v>
      </c>
    </row>
    <row r="7" spans="1:6" ht="15.75" x14ac:dyDescent="0.25">
      <c r="A7" s="518"/>
      <c r="B7" s="519" t="s">
        <v>557</v>
      </c>
      <c r="C7" s="518" t="s">
        <v>257</v>
      </c>
      <c r="D7" s="981">
        <v>6</v>
      </c>
      <c r="E7" s="978">
        <v>1200000</v>
      </c>
      <c r="F7" s="979">
        <f t="shared" si="0"/>
        <v>7200000</v>
      </c>
    </row>
    <row r="8" spans="1:6" ht="15.75" x14ac:dyDescent="0.25">
      <c r="A8" s="518"/>
      <c r="B8" s="519" t="s">
        <v>451</v>
      </c>
      <c r="C8" s="518" t="s">
        <v>561</v>
      </c>
      <c r="D8" s="977">
        <v>140</v>
      </c>
      <c r="E8" s="978">
        <v>150000</v>
      </c>
      <c r="F8" s="979">
        <f t="shared" si="0"/>
        <v>21000000</v>
      </c>
    </row>
    <row r="9" spans="1:6" ht="16.5" thickBot="1" x14ac:dyDescent="0.3">
      <c r="A9" s="518"/>
      <c r="B9" s="982" t="s">
        <v>558</v>
      </c>
      <c r="C9" s="983" t="s">
        <v>559</v>
      </c>
      <c r="D9" s="977">
        <v>150</v>
      </c>
      <c r="E9" s="978">
        <v>20000</v>
      </c>
      <c r="F9" s="979">
        <f t="shared" si="0"/>
        <v>3000000</v>
      </c>
    </row>
    <row r="10" spans="1:6" ht="16.5" thickBot="1" x14ac:dyDescent="0.3">
      <c r="A10" s="518"/>
      <c r="B10" s="982" t="s">
        <v>717</v>
      </c>
      <c r="C10" s="983" t="s">
        <v>712</v>
      </c>
      <c r="D10" s="977">
        <v>75</v>
      </c>
      <c r="E10" s="978">
        <v>40000</v>
      </c>
      <c r="F10" s="979">
        <f t="shared" si="0"/>
        <v>3000000</v>
      </c>
    </row>
    <row r="11" spans="1:6" ht="16.5" thickBot="1" x14ac:dyDescent="0.3">
      <c r="A11" s="518"/>
      <c r="B11" s="982" t="s">
        <v>713</v>
      </c>
      <c r="C11" s="518" t="s">
        <v>566</v>
      </c>
      <c r="D11" s="977">
        <v>1</v>
      </c>
      <c r="E11" s="978">
        <v>12000000</v>
      </c>
      <c r="F11" s="979">
        <f t="shared" si="0"/>
        <v>12000000</v>
      </c>
    </row>
    <row r="12" spans="1:6" ht="63" x14ac:dyDescent="0.25">
      <c r="A12" s="518">
        <v>2</v>
      </c>
      <c r="B12" s="988" t="s">
        <v>715</v>
      </c>
      <c r="C12" s="26"/>
      <c r="D12" s="974"/>
      <c r="E12" s="975"/>
      <c r="F12" s="976">
        <f>F13+F21</f>
        <v>67100000</v>
      </c>
    </row>
    <row r="13" spans="1:6" ht="15.75" x14ac:dyDescent="0.25">
      <c r="A13" s="518" t="s">
        <v>363</v>
      </c>
      <c r="B13" s="838" t="s">
        <v>563</v>
      </c>
      <c r="C13" s="26"/>
      <c r="D13" s="974"/>
      <c r="E13" s="975"/>
      <c r="F13" s="976">
        <f>F14+F15+F16+F17+F18+F19+F20</f>
        <v>48600000</v>
      </c>
    </row>
    <row r="14" spans="1:6" ht="15.75" x14ac:dyDescent="0.25">
      <c r="A14" s="518"/>
      <c r="B14" s="519" t="s">
        <v>103</v>
      </c>
      <c r="C14" s="518" t="s">
        <v>421</v>
      </c>
      <c r="D14" s="977">
        <v>2</v>
      </c>
      <c r="E14" s="978">
        <v>900000</v>
      </c>
      <c r="F14" s="979">
        <f t="shared" ref="F14:F24" si="1">D14*E14</f>
        <v>1800000</v>
      </c>
    </row>
    <row r="15" spans="1:6" ht="15.75" x14ac:dyDescent="0.25">
      <c r="A15" s="518"/>
      <c r="B15" s="519" t="s">
        <v>171</v>
      </c>
      <c r="C15" s="518" t="s">
        <v>421</v>
      </c>
      <c r="D15" s="509">
        <v>2</v>
      </c>
      <c r="E15" s="612">
        <v>300000</v>
      </c>
      <c r="F15" s="980">
        <f t="shared" si="1"/>
        <v>600000</v>
      </c>
    </row>
    <row r="16" spans="1:6" ht="15.75" x14ac:dyDescent="0.25">
      <c r="A16" s="518"/>
      <c r="B16" s="519" t="s">
        <v>557</v>
      </c>
      <c r="C16" s="518" t="s">
        <v>257</v>
      </c>
      <c r="D16" s="981">
        <v>6</v>
      </c>
      <c r="E16" s="978">
        <v>1200000</v>
      </c>
      <c r="F16" s="979">
        <f t="shared" si="1"/>
        <v>7200000</v>
      </c>
    </row>
    <row r="17" spans="1:6" ht="15.75" x14ac:dyDescent="0.25">
      <c r="A17" s="518"/>
      <c r="B17" s="519" t="s">
        <v>588</v>
      </c>
      <c r="C17" s="518" t="s">
        <v>561</v>
      </c>
      <c r="D17" s="977">
        <v>140</v>
      </c>
      <c r="E17" s="978">
        <v>150000</v>
      </c>
      <c r="F17" s="979">
        <f t="shared" si="1"/>
        <v>21000000</v>
      </c>
    </row>
    <row r="18" spans="1:6" ht="16.5" thickBot="1" x14ac:dyDescent="0.3">
      <c r="A18" s="518"/>
      <c r="B18" s="982" t="s">
        <v>558</v>
      </c>
      <c r="C18" s="983" t="s">
        <v>559</v>
      </c>
      <c r="D18" s="977">
        <v>150</v>
      </c>
      <c r="E18" s="978">
        <v>20000</v>
      </c>
      <c r="F18" s="979">
        <f t="shared" si="1"/>
        <v>3000000</v>
      </c>
    </row>
    <row r="19" spans="1:6" ht="16.5" thickBot="1" x14ac:dyDescent="0.3">
      <c r="A19" s="518"/>
      <c r="B19" s="982" t="s">
        <v>717</v>
      </c>
      <c r="C19" s="983" t="s">
        <v>712</v>
      </c>
      <c r="D19" s="977">
        <v>75</v>
      </c>
      <c r="E19" s="978">
        <v>40000</v>
      </c>
      <c r="F19" s="979">
        <f t="shared" si="1"/>
        <v>3000000</v>
      </c>
    </row>
    <row r="20" spans="1:6" ht="16.5" thickBot="1" x14ac:dyDescent="0.3">
      <c r="A20" s="26"/>
      <c r="B20" s="982" t="s">
        <v>713</v>
      </c>
      <c r="C20" s="518" t="s">
        <v>566</v>
      </c>
      <c r="D20" s="977">
        <v>1</v>
      </c>
      <c r="E20" s="978">
        <v>12000000</v>
      </c>
      <c r="F20" s="979">
        <f t="shared" si="1"/>
        <v>12000000</v>
      </c>
    </row>
    <row r="21" spans="1:6" ht="15.75" x14ac:dyDescent="0.25">
      <c r="A21" s="518" t="s">
        <v>364</v>
      </c>
      <c r="B21" s="838" t="s">
        <v>569</v>
      </c>
      <c r="C21" s="518"/>
      <c r="D21" s="977"/>
      <c r="E21" s="978"/>
      <c r="F21" s="979">
        <f>F22+F23+F24</f>
        <v>18500000</v>
      </c>
    </row>
    <row r="22" spans="1:6" ht="31.5" x14ac:dyDescent="0.25">
      <c r="A22" s="518"/>
      <c r="B22" s="984" t="s">
        <v>564</v>
      </c>
      <c r="C22" s="518" t="s">
        <v>565</v>
      </c>
      <c r="D22" s="509">
        <v>5</v>
      </c>
      <c r="E22" s="612">
        <v>2300000</v>
      </c>
      <c r="F22" s="979">
        <f t="shared" si="1"/>
        <v>11500000</v>
      </c>
    </row>
    <row r="23" spans="1:6" ht="15.75" x14ac:dyDescent="0.25">
      <c r="A23" s="518"/>
      <c r="B23" s="989" t="s">
        <v>587</v>
      </c>
      <c r="C23" s="518" t="s">
        <v>205</v>
      </c>
      <c r="D23" s="981">
        <v>10</v>
      </c>
      <c r="E23" s="978">
        <v>400000</v>
      </c>
      <c r="F23" s="979">
        <f t="shared" si="1"/>
        <v>4000000</v>
      </c>
    </row>
    <row r="24" spans="1:6" ht="15.75" x14ac:dyDescent="0.25">
      <c r="A24" s="518"/>
      <c r="B24" s="989" t="s">
        <v>570</v>
      </c>
      <c r="C24" s="518" t="s">
        <v>566</v>
      </c>
      <c r="D24" s="977">
        <v>15</v>
      </c>
      <c r="E24" s="978">
        <v>200000</v>
      </c>
      <c r="F24" s="979">
        <f t="shared" si="1"/>
        <v>3000000</v>
      </c>
    </row>
    <row r="25" spans="1:6" ht="63" x14ac:dyDescent="0.25">
      <c r="A25" s="518">
        <v>3</v>
      </c>
      <c r="B25" s="988" t="s">
        <v>716</v>
      </c>
      <c r="C25" s="26"/>
      <c r="D25" s="974"/>
      <c r="E25" s="975"/>
      <c r="F25" s="976">
        <f>F26+F34</f>
        <v>71600000</v>
      </c>
    </row>
    <row r="26" spans="1:6" ht="15.75" x14ac:dyDescent="0.25">
      <c r="A26" s="518" t="s">
        <v>363</v>
      </c>
      <c r="B26" s="838" t="s">
        <v>563</v>
      </c>
      <c r="C26" s="26"/>
      <c r="D26" s="974"/>
      <c r="E26" s="975"/>
      <c r="F26" s="985">
        <f>F27+F28+F29+F30+F31+F32+F33</f>
        <v>48600000</v>
      </c>
    </row>
    <row r="27" spans="1:6" ht="15.75" x14ac:dyDescent="0.25">
      <c r="A27" s="518"/>
      <c r="B27" s="519" t="s">
        <v>103</v>
      </c>
      <c r="C27" s="518" t="s">
        <v>421</v>
      </c>
      <c r="D27" s="977">
        <v>2</v>
      </c>
      <c r="E27" s="978">
        <v>900000</v>
      </c>
      <c r="F27" s="979">
        <f t="shared" ref="F27:F33" si="2">D27*E27</f>
        <v>1800000</v>
      </c>
    </row>
    <row r="28" spans="1:6" ht="15.75" x14ac:dyDescent="0.25">
      <c r="A28" s="518"/>
      <c r="B28" s="519" t="s">
        <v>171</v>
      </c>
      <c r="C28" s="518" t="s">
        <v>421</v>
      </c>
      <c r="D28" s="977">
        <v>2</v>
      </c>
      <c r="E28" s="612">
        <v>300000</v>
      </c>
      <c r="F28" s="980">
        <f t="shared" si="2"/>
        <v>600000</v>
      </c>
    </row>
    <row r="29" spans="1:6" ht="15.75" x14ac:dyDescent="0.25">
      <c r="A29" s="518"/>
      <c r="B29" s="519" t="s">
        <v>557</v>
      </c>
      <c r="C29" s="518" t="s">
        <v>257</v>
      </c>
      <c r="D29" s="981">
        <v>6</v>
      </c>
      <c r="E29" s="978">
        <v>1200000</v>
      </c>
      <c r="F29" s="979">
        <f t="shared" si="2"/>
        <v>7200000</v>
      </c>
    </row>
    <row r="30" spans="1:6" ht="15.75" x14ac:dyDescent="0.25">
      <c r="A30" s="990"/>
      <c r="B30" s="519" t="s">
        <v>527</v>
      </c>
      <c r="C30" s="518" t="s">
        <v>561</v>
      </c>
      <c r="D30" s="979">
        <v>140</v>
      </c>
      <c r="E30" s="978">
        <v>150000</v>
      </c>
      <c r="F30" s="992">
        <f t="shared" si="2"/>
        <v>21000000</v>
      </c>
    </row>
    <row r="31" spans="1:6" ht="15.75" x14ac:dyDescent="0.25">
      <c r="A31" s="990"/>
      <c r="B31" s="509" t="s">
        <v>558</v>
      </c>
      <c r="C31" s="518" t="s">
        <v>559</v>
      </c>
      <c r="D31" s="979">
        <v>150</v>
      </c>
      <c r="E31" s="978">
        <v>20000</v>
      </c>
      <c r="F31" s="992">
        <f t="shared" si="2"/>
        <v>3000000</v>
      </c>
    </row>
    <row r="32" spans="1:6" ht="15.75" x14ac:dyDescent="0.25">
      <c r="A32" s="990"/>
      <c r="B32" s="509" t="s">
        <v>717</v>
      </c>
      <c r="C32" s="518" t="s">
        <v>712</v>
      </c>
      <c r="D32" s="979">
        <v>75</v>
      </c>
      <c r="E32" s="978">
        <v>40000</v>
      </c>
      <c r="F32" s="992">
        <f t="shared" si="2"/>
        <v>3000000</v>
      </c>
    </row>
    <row r="33" spans="1:7" ht="15.75" x14ac:dyDescent="0.25">
      <c r="A33" s="991"/>
      <c r="B33" s="509" t="s">
        <v>713</v>
      </c>
      <c r="C33" s="518" t="s">
        <v>566</v>
      </c>
      <c r="D33" s="979">
        <v>1</v>
      </c>
      <c r="E33" s="978">
        <v>12000000</v>
      </c>
      <c r="F33" s="992">
        <f t="shared" si="2"/>
        <v>12000000</v>
      </c>
    </row>
    <row r="34" spans="1:7" ht="15.75" x14ac:dyDescent="0.25">
      <c r="A34" s="990" t="s">
        <v>364</v>
      </c>
      <c r="B34" s="838" t="s">
        <v>569</v>
      </c>
      <c r="C34" s="518"/>
      <c r="D34" s="979"/>
      <c r="E34" s="978"/>
      <c r="F34" s="993">
        <f>F35+F36+F37</f>
        <v>23000000</v>
      </c>
    </row>
    <row r="35" spans="1:7" ht="31.5" x14ac:dyDescent="0.25">
      <c r="A35" s="990"/>
      <c r="B35" s="984" t="s">
        <v>567</v>
      </c>
      <c r="C35" s="518" t="s">
        <v>565</v>
      </c>
      <c r="D35" s="509">
        <v>5</v>
      </c>
      <c r="E35" s="612">
        <v>3200000</v>
      </c>
      <c r="F35" s="992">
        <f t="shared" ref="F35:F37" si="3">D35*E35</f>
        <v>16000000</v>
      </c>
    </row>
    <row r="36" spans="1:7" ht="15.75" x14ac:dyDescent="0.25">
      <c r="A36" s="518"/>
      <c r="B36" s="994" t="s">
        <v>587</v>
      </c>
      <c r="C36" s="518" t="s">
        <v>205</v>
      </c>
      <c r="D36" s="995">
        <v>10</v>
      </c>
      <c r="E36" s="978">
        <v>400000</v>
      </c>
      <c r="F36" s="979">
        <f t="shared" si="3"/>
        <v>4000000</v>
      </c>
    </row>
    <row r="37" spans="1:7" ht="15.75" x14ac:dyDescent="0.25">
      <c r="A37" s="518"/>
      <c r="B37" s="994" t="s">
        <v>589</v>
      </c>
      <c r="C37" s="518" t="s">
        <v>566</v>
      </c>
      <c r="D37" s="979">
        <v>15</v>
      </c>
      <c r="E37" s="978">
        <v>200000</v>
      </c>
      <c r="F37" s="979">
        <f t="shared" si="3"/>
        <v>3000000</v>
      </c>
    </row>
    <row r="38" spans="1:7" x14ac:dyDescent="0.25">
      <c r="A38" s="996"/>
      <c r="B38" s="996"/>
      <c r="C38" s="996"/>
      <c r="D38" s="996"/>
      <c r="E38" s="996"/>
      <c r="F38" s="996"/>
      <c r="G38" s="996"/>
    </row>
    <row r="39" spans="1:7" x14ac:dyDescent="0.25">
      <c r="A39" s="996"/>
      <c r="B39" s="996"/>
      <c r="C39" s="996"/>
      <c r="D39" s="996"/>
      <c r="E39" s="996"/>
      <c r="F39" s="996"/>
      <c r="G39" s="996"/>
    </row>
    <row r="40" spans="1:7" x14ac:dyDescent="0.25">
      <c r="A40" s="996"/>
      <c r="B40" s="996"/>
      <c r="C40" s="996"/>
      <c r="D40" s="996"/>
      <c r="E40" s="996"/>
      <c r="F40" s="996"/>
      <c r="G40" s="996"/>
    </row>
    <row r="41" spans="1:7" x14ac:dyDescent="0.25">
      <c r="A41" s="996"/>
      <c r="B41" s="996"/>
      <c r="C41" s="996"/>
      <c r="D41" s="996"/>
      <c r="E41" s="996"/>
      <c r="F41" s="996"/>
      <c r="G41" s="996"/>
    </row>
    <row r="42" spans="1:7" x14ac:dyDescent="0.25">
      <c r="A42" s="996"/>
      <c r="B42" s="996"/>
      <c r="C42" s="996"/>
      <c r="D42" s="996"/>
      <c r="E42" s="996"/>
      <c r="F42" s="996"/>
      <c r="G42" s="996"/>
    </row>
    <row r="43" spans="1:7" x14ac:dyDescent="0.25">
      <c r="A43" s="996"/>
      <c r="B43" s="996"/>
      <c r="C43" s="996"/>
      <c r="D43" s="996"/>
      <c r="E43" s="996"/>
      <c r="F43" s="996"/>
      <c r="G43" s="996"/>
    </row>
  </sheetData>
  <mergeCells count="1">
    <mergeCell ref="A1:F1"/>
  </mergeCells>
  <phoneticPr fontId="122" type="noConversion"/>
  <pageMargins left="0.7" right="0.7" top="0.75" bottom="0.75" header="0.3" footer="0.3"/>
  <pageSetup paperSize="9" orientation="portrait" horizontalDpi="150" verticalDpi="15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0"/>
  <sheetViews>
    <sheetView zoomScale="85" zoomScaleNormal="85" workbookViewId="0">
      <selection activeCell="F16" sqref="F16"/>
    </sheetView>
  </sheetViews>
  <sheetFormatPr defaultColWidth="10.140625" defaultRowHeight="15" x14ac:dyDescent="0.25"/>
  <cols>
    <col min="1" max="1" width="7.7109375" style="465" customWidth="1"/>
    <col min="2" max="2" width="59.7109375" style="465" customWidth="1"/>
    <col min="3" max="3" width="14.28515625" style="465" customWidth="1"/>
    <col min="4" max="4" width="13.85546875" style="465" bestFit="1" customWidth="1"/>
    <col min="5" max="5" width="15.42578125" style="465" customWidth="1"/>
    <col min="6" max="6" width="17.140625" style="465" bestFit="1" customWidth="1"/>
    <col min="7" max="7" width="17" style="465" customWidth="1"/>
    <col min="8" max="8" width="16" style="465" customWidth="1"/>
    <col min="9" max="9" width="17.7109375" style="465" customWidth="1"/>
    <col min="10" max="10" width="17.140625" style="465" customWidth="1"/>
    <col min="11" max="11" width="18.7109375" style="465" customWidth="1"/>
    <col min="12" max="12" width="18.85546875" style="465" bestFit="1" customWidth="1"/>
    <col min="13" max="13" width="14.140625" style="465" customWidth="1"/>
    <col min="14" max="14" width="15.5703125" style="465" bestFit="1" customWidth="1"/>
    <col min="15" max="15" width="10.140625" style="465" customWidth="1"/>
    <col min="16" max="16" width="16.5703125" style="596" bestFit="1" customWidth="1"/>
    <col min="17" max="254" width="10.140625" style="465"/>
    <col min="255" max="255" width="10.140625" style="465" customWidth="1"/>
    <col min="256" max="256" width="27.5703125" style="465" customWidth="1"/>
    <col min="257" max="257" width="10.140625" style="465" customWidth="1"/>
    <col min="258" max="258" width="35.28515625" style="465" customWidth="1"/>
    <col min="259" max="259" width="15.42578125" style="465" customWidth="1"/>
    <col min="260" max="260" width="15" style="465" customWidth="1"/>
    <col min="261" max="261" width="17" style="465" customWidth="1"/>
    <col min="262" max="262" width="19" style="465" customWidth="1"/>
    <col min="263" max="263" width="16.5703125" style="465" bestFit="1" customWidth="1"/>
    <col min="264" max="264" width="16" style="465" customWidth="1"/>
    <col min="265" max="265" width="17.7109375" style="465" customWidth="1"/>
    <col min="266" max="266" width="17.140625" style="465" customWidth="1"/>
    <col min="267" max="267" width="18.7109375" style="465" customWidth="1"/>
    <col min="268" max="268" width="18.85546875" style="465" bestFit="1" customWidth="1"/>
    <col min="269" max="269" width="14.140625" style="465" customWidth="1"/>
    <col min="270" max="270" width="15.5703125" style="465" bestFit="1" customWidth="1"/>
    <col min="271" max="271" width="10.140625" style="465" customWidth="1"/>
    <col min="272" max="272" width="16.5703125" style="465" bestFit="1" customWidth="1"/>
    <col min="273" max="510" width="10.140625" style="465"/>
    <col min="511" max="511" width="10.140625" style="465" customWidth="1"/>
    <col min="512" max="512" width="27.5703125" style="465" customWidth="1"/>
    <col min="513" max="513" width="10.140625" style="465" customWidth="1"/>
    <col min="514" max="514" width="35.28515625" style="465" customWidth="1"/>
    <col min="515" max="515" width="15.42578125" style="465" customWidth="1"/>
    <col min="516" max="516" width="15" style="465" customWidth="1"/>
    <col min="517" max="517" width="17" style="465" customWidth="1"/>
    <col min="518" max="518" width="19" style="465" customWidth="1"/>
    <col min="519" max="519" width="16.5703125" style="465" bestFit="1" customWidth="1"/>
    <col min="520" max="520" width="16" style="465" customWidth="1"/>
    <col min="521" max="521" width="17.7109375" style="465" customWidth="1"/>
    <col min="522" max="522" width="17.140625" style="465" customWidth="1"/>
    <col min="523" max="523" width="18.7109375" style="465" customWidth="1"/>
    <col min="524" max="524" width="18.85546875" style="465" bestFit="1" customWidth="1"/>
    <col min="525" max="525" width="14.140625" style="465" customWidth="1"/>
    <col min="526" max="526" width="15.5703125" style="465" bestFit="1" customWidth="1"/>
    <col min="527" max="527" width="10.140625" style="465" customWidth="1"/>
    <col min="528" max="528" width="16.5703125" style="465" bestFit="1" customWidth="1"/>
    <col min="529" max="766" width="10.140625" style="465"/>
    <col min="767" max="767" width="10.140625" style="465" customWidth="1"/>
    <col min="768" max="768" width="27.5703125" style="465" customWidth="1"/>
    <col min="769" max="769" width="10.140625" style="465" customWidth="1"/>
    <col min="770" max="770" width="35.28515625" style="465" customWidth="1"/>
    <col min="771" max="771" width="15.42578125" style="465" customWidth="1"/>
    <col min="772" max="772" width="15" style="465" customWidth="1"/>
    <col min="773" max="773" width="17" style="465" customWidth="1"/>
    <col min="774" max="774" width="19" style="465" customWidth="1"/>
    <col min="775" max="775" width="16.5703125" style="465" bestFit="1" customWidth="1"/>
    <col min="776" max="776" width="16" style="465" customWidth="1"/>
    <col min="777" max="777" width="17.7109375" style="465" customWidth="1"/>
    <col min="778" max="778" width="17.140625" style="465" customWidth="1"/>
    <col min="779" max="779" width="18.7109375" style="465" customWidth="1"/>
    <col min="780" max="780" width="18.85546875" style="465" bestFit="1" customWidth="1"/>
    <col min="781" max="781" width="14.140625" style="465" customWidth="1"/>
    <col min="782" max="782" width="15.5703125" style="465" bestFit="1" customWidth="1"/>
    <col min="783" max="783" width="10.140625" style="465" customWidth="1"/>
    <col min="784" max="784" width="16.5703125" style="465" bestFit="1" customWidth="1"/>
    <col min="785" max="1022" width="10.140625" style="465"/>
    <col min="1023" max="1023" width="10.140625" style="465" customWidth="1"/>
    <col min="1024" max="1024" width="27.5703125" style="465" customWidth="1"/>
    <col min="1025" max="1025" width="10.140625" style="465" customWidth="1"/>
    <col min="1026" max="1026" width="35.28515625" style="465" customWidth="1"/>
    <col min="1027" max="1027" width="15.42578125" style="465" customWidth="1"/>
    <col min="1028" max="1028" width="15" style="465" customWidth="1"/>
    <col min="1029" max="1029" width="17" style="465" customWidth="1"/>
    <col min="1030" max="1030" width="19" style="465" customWidth="1"/>
    <col min="1031" max="1031" width="16.5703125" style="465" bestFit="1" customWidth="1"/>
    <col min="1032" max="1032" width="16" style="465" customWidth="1"/>
    <col min="1033" max="1033" width="17.7109375" style="465" customWidth="1"/>
    <col min="1034" max="1034" width="17.140625" style="465" customWidth="1"/>
    <col min="1035" max="1035" width="18.7109375" style="465" customWidth="1"/>
    <col min="1036" max="1036" width="18.85546875" style="465" bestFit="1" customWidth="1"/>
    <col min="1037" max="1037" width="14.140625" style="465" customWidth="1"/>
    <col min="1038" max="1038" width="15.5703125" style="465" bestFit="1" customWidth="1"/>
    <col min="1039" max="1039" width="10.140625" style="465" customWidth="1"/>
    <col min="1040" max="1040" width="16.5703125" style="465" bestFit="1" customWidth="1"/>
    <col min="1041" max="1278" width="10.140625" style="465"/>
    <col min="1279" max="1279" width="10.140625" style="465" customWidth="1"/>
    <col min="1280" max="1280" width="27.5703125" style="465" customWidth="1"/>
    <col min="1281" max="1281" width="10.140625" style="465" customWidth="1"/>
    <col min="1282" max="1282" width="35.28515625" style="465" customWidth="1"/>
    <col min="1283" max="1283" width="15.42578125" style="465" customWidth="1"/>
    <col min="1284" max="1284" width="15" style="465" customWidth="1"/>
    <col min="1285" max="1285" width="17" style="465" customWidth="1"/>
    <col min="1286" max="1286" width="19" style="465" customWidth="1"/>
    <col min="1287" max="1287" width="16.5703125" style="465" bestFit="1" customWidth="1"/>
    <col min="1288" max="1288" width="16" style="465" customWidth="1"/>
    <col min="1289" max="1289" width="17.7109375" style="465" customWidth="1"/>
    <col min="1290" max="1290" width="17.140625" style="465" customWidth="1"/>
    <col min="1291" max="1291" width="18.7109375" style="465" customWidth="1"/>
    <col min="1292" max="1292" width="18.85546875" style="465" bestFit="1" customWidth="1"/>
    <col min="1293" max="1293" width="14.140625" style="465" customWidth="1"/>
    <col min="1294" max="1294" width="15.5703125" style="465" bestFit="1" customWidth="1"/>
    <col min="1295" max="1295" width="10.140625" style="465" customWidth="1"/>
    <col min="1296" max="1296" width="16.5703125" style="465" bestFit="1" customWidth="1"/>
    <col min="1297" max="1534" width="10.140625" style="465"/>
    <col min="1535" max="1535" width="10.140625" style="465" customWidth="1"/>
    <col min="1536" max="1536" width="27.5703125" style="465" customWidth="1"/>
    <col min="1537" max="1537" width="10.140625" style="465" customWidth="1"/>
    <col min="1538" max="1538" width="35.28515625" style="465" customWidth="1"/>
    <col min="1539" max="1539" width="15.42578125" style="465" customWidth="1"/>
    <col min="1540" max="1540" width="15" style="465" customWidth="1"/>
    <col min="1541" max="1541" width="17" style="465" customWidth="1"/>
    <col min="1542" max="1542" width="19" style="465" customWidth="1"/>
    <col min="1543" max="1543" width="16.5703125" style="465" bestFit="1" customWidth="1"/>
    <col min="1544" max="1544" width="16" style="465" customWidth="1"/>
    <col min="1545" max="1545" width="17.7109375" style="465" customWidth="1"/>
    <col min="1546" max="1546" width="17.140625" style="465" customWidth="1"/>
    <col min="1547" max="1547" width="18.7109375" style="465" customWidth="1"/>
    <col min="1548" max="1548" width="18.85546875" style="465" bestFit="1" customWidth="1"/>
    <col min="1549" max="1549" width="14.140625" style="465" customWidth="1"/>
    <col min="1550" max="1550" width="15.5703125" style="465" bestFit="1" customWidth="1"/>
    <col min="1551" max="1551" width="10.140625" style="465" customWidth="1"/>
    <col min="1552" max="1552" width="16.5703125" style="465" bestFit="1" customWidth="1"/>
    <col min="1553" max="1790" width="10.140625" style="465"/>
    <col min="1791" max="1791" width="10.140625" style="465" customWidth="1"/>
    <col min="1792" max="1792" width="27.5703125" style="465" customWidth="1"/>
    <col min="1793" max="1793" width="10.140625" style="465" customWidth="1"/>
    <col min="1794" max="1794" width="35.28515625" style="465" customWidth="1"/>
    <col min="1795" max="1795" width="15.42578125" style="465" customWidth="1"/>
    <col min="1796" max="1796" width="15" style="465" customWidth="1"/>
    <col min="1797" max="1797" width="17" style="465" customWidth="1"/>
    <col min="1798" max="1798" width="19" style="465" customWidth="1"/>
    <col min="1799" max="1799" width="16.5703125" style="465" bestFit="1" customWidth="1"/>
    <col min="1800" max="1800" width="16" style="465" customWidth="1"/>
    <col min="1801" max="1801" width="17.7109375" style="465" customWidth="1"/>
    <col min="1802" max="1802" width="17.140625" style="465" customWidth="1"/>
    <col min="1803" max="1803" width="18.7109375" style="465" customWidth="1"/>
    <col min="1804" max="1804" width="18.85546875" style="465" bestFit="1" customWidth="1"/>
    <col min="1805" max="1805" width="14.140625" style="465" customWidth="1"/>
    <col min="1806" max="1806" width="15.5703125" style="465" bestFit="1" customWidth="1"/>
    <col min="1807" max="1807" width="10.140625" style="465" customWidth="1"/>
    <col min="1808" max="1808" width="16.5703125" style="465" bestFit="1" customWidth="1"/>
    <col min="1809" max="2046" width="10.140625" style="465"/>
    <col min="2047" max="2047" width="10.140625" style="465" customWidth="1"/>
    <col min="2048" max="2048" width="27.5703125" style="465" customWidth="1"/>
    <col min="2049" max="2049" width="10.140625" style="465" customWidth="1"/>
    <col min="2050" max="2050" width="35.28515625" style="465" customWidth="1"/>
    <col min="2051" max="2051" width="15.42578125" style="465" customWidth="1"/>
    <col min="2052" max="2052" width="15" style="465" customWidth="1"/>
    <col min="2053" max="2053" width="17" style="465" customWidth="1"/>
    <col min="2054" max="2054" width="19" style="465" customWidth="1"/>
    <col min="2055" max="2055" width="16.5703125" style="465" bestFit="1" customWidth="1"/>
    <col min="2056" max="2056" width="16" style="465" customWidth="1"/>
    <col min="2057" max="2057" width="17.7109375" style="465" customWidth="1"/>
    <col min="2058" max="2058" width="17.140625" style="465" customWidth="1"/>
    <col min="2059" max="2059" width="18.7109375" style="465" customWidth="1"/>
    <col min="2060" max="2060" width="18.85546875" style="465" bestFit="1" customWidth="1"/>
    <col min="2061" max="2061" width="14.140625" style="465" customWidth="1"/>
    <col min="2062" max="2062" width="15.5703125" style="465" bestFit="1" customWidth="1"/>
    <col min="2063" max="2063" width="10.140625" style="465" customWidth="1"/>
    <col min="2064" max="2064" width="16.5703125" style="465" bestFit="1" customWidth="1"/>
    <col min="2065" max="2302" width="10.140625" style="465"/>
    <col min="2303" max="2303" width="10.140625" style="465" customWidth="1"/>
    <col min="2304" max="2304" width="27.5703125" style="465" customWidth="1"/>
    <col min="2305" max="2305" width="10.140625" style="465" customWidth="1"/>
    <col min="2306" max="2306" width="35.28515625" style="465" customWidth="1"/>
    <col min="2307" max="2307" width="15.42578125" style="465" customWidth="1"/>
    <col min="2308" max="2308" width="15" style="465" customWidth="1"/>
    <col min="2309" max="2309" width="17" style="465" customWidth="1"/>
    <col min="2310" max="2310" width="19" style="465" customWidth="1"/>
    <col min="2311" max="2311" width="16.5703125" style="465" bestFit="1" customWidth="1"/>
    <col min="2312" max="2312" width="16" style="465" customWidth="1"/>
    <col min="2313" max="2313" width="17.7109375" style="465" customWidth="1"/>
    <col min="2314" max="2314" width="17.140625" style="465" customWidth="1"/>
    <col min="2315" max="2315" width="18.7109375" style="465" customWidth="1"/>
    <col min="2316" max="2316" width="18.85546875" style="465" bestFit="1" customWidth="1"/>
    <col min="2317" max="2317" width="14.140625" style="465" customWidth="1"/>
    <col min="2318" max="2318" width="15.5703125" style="465" bestFit="1" customWidth="1"/>
    <col min="2319" max="2319" width="10.140625" style="465" customWidth="1"/>
    <col min="2320" max="2320" width="16.5703125" style="465" bestFit="1" customWidth="1"/>
    <col min="2321" max="2558" width="10.140625" style="465"/>
    <col min="2559" max="2559" width="10.140625" style="465" customWidth="1"/>
    <col min="2560" max="2560" width="27.5703125" style="465" customWidth="1"/>
    <col min="2561" max="2561" width="10.140625" style="465" customWidth="1"/>
    <col min="2562" max="2562" width="35.28515625" style="465" customWidth="1"/>
    <col min="2563" max="2563" width="15.42578125" style="465" customWidth="1"/>
    <col min="2564" max="2564" width="15" style="465" customWidth="1"/>
    <col min="2565" max="2565" width="17" style="465" customWidth="1"/>
    <col min="2566" max="2566" width="19" style="465" customWidth="1"/>
    <col min="2567" max="2567" width="16.5703125" style="465" bestFit="1" customWidth="1"/>
    <col min="2568" max="2568" width="16" style="465" customWidth="1"/>
    <col min="2569" max="2569" width="17.7109375" style="465" customWidth="1"/>
    <col min="2570" max="2570" width="17.140625" style="465" customWidth="1"/>
    <col min="2571" max="2571" width="18.7109375" style="465" customWidth="1"/>
    <col min="2572" max="2572" width="18.85546875" style="465" bestFit="1" customWidth="1"/>
    <col min="2573" max="2573" width="14.140625" style="465" customWidth="1"/>
    <col min="2574" max="2574" width="15.5703125" style="465" bestFit="1" customWidth="1"/>
    <col min="2575" max="2575" width="10.140625" style="465" customWidth="1"/>
    <col min="2576" max="2576" width="16.5703125" style="465" bestFit="1" customWidth="1"/>
    <col min="2577" max="2814" width="10.140625" style="465"/>
    <col min="2815" max="2815" width="10.140625" style="465" customWidth="1"/>
    <col min="2816" max="2816" width="27.5703125" style="465" customWidth="1"/>
    <col min="2817" max="2817" width="10.140625" style="465" customWidth="1"/>
    <col min="2818" max="2818" width="35.28515625" style="465" customWidth="1"/>
    <col min="2819" max="2819" width="15.42578125" style="465" customWidth="1"/>
    <col min="2820" max="2820" width="15" style="465" customWidth="1"/>
    <col min="2821" max="2821" width="17" style="465" customWidth="1"/>
    <col min="2822" max="2822" width="19" style="465" customWidth="1"/>
    <col min="2823" max="2823" width="16.5703125" style="465" bestFit="1" customWidth="1"/>
    <col min="2824" max="2824" width="16" style="465" customWidth="1"/>
    <col min="2825" max="2825" width="17.7109375" style="465" customWidth="1"/>
    <col min="2826" max="2826" width="17.140625" style="465" customWidth="1"/>
    <col min="2827" max="2827" width="18.7109375" style="465" customWidth="1"/>
    <col min="2828" max="2828" width="18.85546875" style="465" bestFit="1" customWidth="1"/>
    <col min="2829" max="2829" width="14.140625" style="465" customWidth="1"/>
    <col min="2830" max="2830" width="15.5703125" style="465" bestFit="1" customWidth="1"/>
    <col min="2831" max="2831" width="10.140625" style="465" customWidth="1"/>
    <col min="2832" max="2832" width="16.5703125" style="465" bestFit="1" customWidth="1"/>
    <col min="2833" max="3070" width="10.140625" style="465"/>
    <col min="3071" max="3071" width="10.140625" style="465" customWidth="1"/>
    <col min="3072" max="3072" width="27.5703125" style="465" customWidth="1"/>
    <col min="3073" max="3073" width="10.140625" style="465" customWidth="1"/>
    <col min="3074" max="3074" width="35.28515625" style="465" customWidth="1"/>
    <col min="3075" max="3075" width="15.42578125" style="465" customWidth="1"/>
    <col min="3076" max="3076" width="15" style="465" customWidth="1"/>
    <col min="3077" max="3077" width="17" style="465" customWidth="1"/>
    <col min="3078" max="3078" width="19" style="465" customWidth="1"/>
    <col min="3079" max="3079" width="16.5703125" style="465" bestFit="1" customWidth="1"/>
    <col min="3080" max="3080" width="16" style="465" customWidth="1"/>
    <col min="3081" max="3081" width="17.7109375" style="465" customWidth="1"/>
    <col min="3082" max="3082" width="17.140625" style="465" customWidth="1"/>
    <col min="3083" max="3083" width="18.7109375" style="465" customWidth="1"/>
    <col min="3084" max="3084" width="18.85546875" style="465" bestFit="1" customWidth="1"/>
    <col min="3085" max="3085" width="14.140625" style="465" customWidth="1"/>
    <col min="3086" max="3086" width="15.5703125" style="465" bestFit="1" customWidth="1"/>
    <col min="3087" max="3087" width="10.140625" style="465" customWidth="1"/>
    <col min="3088" max="3088" width="16.5703125" style="465" bestFit="1" customWidth="1"/>
    <col min="3089" max="3326" width="10.140625" style="465"/>
    <col min="3327" max="3327" width="10.140625" style="465" customWidth="1"/>
    <col min="3328" max="3328" width="27.5703125" style="465" customWidth="1"/>
    <col min="3329" max="3329" width="10.140625" style="465" customWidth="1"/>
    <col min="3330" max="3330" width="35.28515625" style="465" customWidth="1"/>
    <col min="3331" max="3331" width="15.42578125" style="465" customWidth="1"/>
    <col min="3332" max="3332" width="15" style="465" customWidth="1"/>
    <col min="3333" max="3333" width="17" style="465" customWidth="1"/>
    <col min="3334" max="3334" width="19" style="465" customWidth="1"/>
    <col min="3335" max="3335" width="16.5703125" style="465" bestFit="1" customWidth="1"/>
    <col min="3336" max="3336" width="16" style="465" customWidth="1"/>
    <col min="3337" max="3337" width="17.7109375" style="465" customWidth="1"/>
    <col min="3338" max="3338" width="17.140625" style="465" customWidth="1"/>
    <col min="3339" max="3339" width="18.7109375" style="465" customWidth="1"/>
    <col min="3340" max="3340" width="18.85546875" style="465" bestFit="1" customWidth="1"/>
    <col min="3341" max="3341" width="14.140625" style="465" customWidth="1"/>
    <col min="3342" max="3342" width="15.5703125" style="465" bestFit="1" customWidth="1"/>
    <col min="3343" max="3343" width="10.140625" style="465" customWidth="1"/>
    <col min="3344" max="3344" width="16.5703125" style="465" bestFit="1" customWidth="1"/>
    <col min="3345" max="3582" width="10.140625" style="465"/>
    <col min="3583" max="3583" width="10.140625" style="465" customWidth="1"/>
    <col min="3584" max="3584" width="27.5703125" style="465" customWidth="1"/>
    <col min="3585" max="3585" width="10.140625" style="465" customWidth="1"/>
    <col min="3586" max="3586" width="35.28515625" style="465" customWidth="1"/>
    <col min="3587" max="3587" width="15.42578125" style="465" customWidth="1"/>
    <col min="3588" max="3588" width="15" style="465" customWidth="1"/>
    <col min="3589" max="3589" width="17" style="465" customWidth="1"/>
    <col min="3590" max="3590" width="19" style="465" customWidth="1"/>
    <col min="3591" max="3591" width="16.5703125" style="465" bestFit="1" customWidth="1"/>
    <col min="3592" max="3592" width="16" style="465" customWidth="1"/>
    <col min="3593" max="3593" width="17.7109375" style="465" customWidth="1"/>
    <col min="3594" max="3594" width="17.140625" style="465" customWidth="1"/>
    <col min="3595" max="3595" width="18.7109375" style="465" customWidth="1"/>
    <col min="3596" max="3596" width="18.85546875" style="465" bestFit="1" customWidth="1"/>
    <col min="3597" max="3597" width="14.140625" style="465" customWidth="1"/>
    <col min="3598" max="3598" width="15.5703125" style="465" bestFit="1" customWidth="1"/>
    <col min="3599" max="3599" width="10.140625" style="465" customWidth="1"/>
    <col min="3600" max="3600" width="16.5703125" style="465" bestFit="1" customWidth="1"/>
    <col min="3601" max="3838" width="10.140625" style="465"/>
    <col min="3839" max="3839" width="10.140625" style="465" customWidth="1"/>
    <col min="3840" max="3840" width="27.5703125" style="465" customWidth="1"/>
    <col min="3841" max="3841" width="10.140625" style="465" customWidth="1"/>
    <col min="3842" max="3842" width="35.28515625" style="465" customWidth="1"/>
    <col min="3843" max="3843" width="15.42578125" style="465" customWidth="1"/>
    <col min="3844" max="3844" width="15" style="465" customWidth="1"/>
    <col min="3845" max="3845" width="17" style="465" customWidth="1"/>
    <col min="3846" max="3846" width="19" style="465" customWidth="1"/>
    <col min="3847" max="3847" width="16.5703125" style="465" bestFit="1" customWidth="1"/>
    <col min="3848" max="3848" width="16" style="465" customWidth="1"/>
    <col min="3849" max="3849" width="17.7109375" style="465" customWidth="1"/>
    <col min="3850" max="3850" width="17.140625" style="465" customWidth="1"/>
    <col min="3851" max="3851" width="18.7109375" style="465" customWidth="1"/>
    <col min="3852" max="3852" width="18.85546875" style="465" bestFit="1" customWidth="1"/>
    <col min="3853" max="3853" width="14.140625" style="465" customWidth="1"/>
    <col min="3854" max="3854" width="15.5703125" style="465" bestFit="1" customWidth="1"/>
    <col min="3855" max="3855" width="10.140625" style="465" customWidth="1"/>
    <col min="3856" max="3856" width="16.5703125" style="465" bestFit="1" customWidth="1"/>
    <col min="3857" max="4094" width="10.140625" style="465"/>
    <col min="4095" max="4095" width="10.140625" style="465" customWidth="1"/>
    <col min="4096" max="4096" width="27.5703125" style="465" customWidth="1"/>
    <col min="4097" max="4097" width="10.140625" style="465" customWidth="1"/>
    <col min="4098" max="4098" width="35.28515625" style="465" customWidth="1"/>
    <col min="4099" max="4099" width="15.42578125" style="465" customWidth="1"/>
    <col min="4100" max="4100" width="15" style="465" customWidth="1"/>
    <col min="4101" max="4101" width="17" style="465" customWidth="1"/>
    <col min="4102" max="4102" width="19" style="465" customWidth="1"/>
    <col min="4103" max="4103" width="16.5703125" style="465" bestFit="1" customWidth="1"/>
    <col min="4104" max="4104" width="16" style="465" customWidth="1"/>
    <col min="4105" max="4105" width="17.7109375" style="465" customWidth="1"/>
    <col min="4106" max="4106" width="17.140625" style="465" customWidth="1"/>
    <col min="4107" max="4107" width="18.7109375" style="465" customWidth="1"/>
    <col min="4108" max="4108" width="18.85546875" style="465" bestFit="1" customWidth="1"/>
    <col min="4109" max="4109" width="14.140625" style="465" customWidth="1"/>
    <col min="4110" max="4110" width="15.5703125" style="465" bestFit="1" customWidth="1"/>
    <col min="4111" max="4111" width="10.140625" style="465" customWidth="1"/>
    <col min="4112" max="4112" width="16.5703125" style="465" bestFit="1" customWidth="1"/>
    <col min="4113" max="4350" width="10.140625" style="465"/>
    <col min="4351" max="4351" width="10.140625" style="465" customWidth="1"/>
    <col min="4352" max="4352" width="27.5703125" style="465" customWidth="1"/>
    <col min="4353" max="4353" width="10.140625" style="465" customWidth="1"/>
    <col min="4354" max="4354" width="35.28515625" style="465" customWidth="1"/>
    <col min="4355" max="4355" width="15.42578125" style="465" customWidth="1"/>
    <col min="4356" max="4356" width="15" style="465" customWidth="1"/>
    <col min="4357" max="4357" width="17" style="465" customWidth="1"/>
    <col min="4358" max="4358" width="19" style="465" customWidth="1"/>
    <col min="4359" max="4359" width="16.5703125" style="465" bestFit="1" customWidth="1"/>
    <col min="4360" max="4360" width="16" style="465" customWidth="1"/>
    <col min="4361" max="4361" width="17.7109375" style="465" customWidth="1"/>
    <col min="4362" max="4362" width="17.140625" style="465" customWidth="1"/>
    <col min="4363" max="4363" width="18.7109375" style="465" customWidth="1"/>
    <col min="4364" max="4364" width="18.85546875" style="465" bestFit="1" customWidth="1"/>
    <col min="4365" max="4365" width="14.140625" style="465" customWidth="1"/>
    <col min="4366" max="4366" width="15.5703125" style="465" bestFit="1" customWidth="1"/>
    <col min="4367" max="4367" width="10.140625" style="465" customWidth="1"/>
    <col min="4368" max="4368" width="16.5703125" style="465" bestFit="1" customWidth="1"/>
    <col min="4369" max="4606" width="10.140625" style="465"/>
    <col min="4607" max="4607" width="10.140625" style="465" customWidth="1"/>
    <col min="4608" max="4608" width="27.5703125" style="465" customWidth="1"/>
    <col min="4609" max="4609" width="10.140625" style="465" customWidth="1"/>
    <col min="4610" max="4610" width="35.28515625" style="465" customWidth="1"/>
    <col min="4611" max="4611" width="15.42578125" style="465" customWidth="1"/>
    <col min="4612" max="4612" width="15" style="465" customWidth="1"/>
    <col min="4613" max="4613" width="17" style="465" customWidth="1"/>
    <col min="4614" max="4614" width="19" style="465" customWidth="1"/>
    <col min="4615" max="4615" width="16.5703125" style="465" bestFit="1" customWidth="1"/>
    <col min="4616" max="4616" width="16" style="465" customWidth="1"/>
    <col min="4617" max="4617" width="17.7109375" style="465" customWidth="1"/>
    <col min="4618" max="4618" width="17.140625" style="465" customWidth="1"/>
    <col min="4619" max="4619" width="18.7109375" style="465" customWidth="1"/>
    <col min="4620" max="4620" width="18.85546875" style="465" bestFit="1" customWidth="1"/>
    <col min="4621" max="4621" width="14.140625" style="465" customWidth="1"/>
    <col min="4622" max="4622" width="15.5703125" style="465" bestFit="1" customWidth="1"/>
    <col min="4623" max="4623" width="10.140625" style="465" customWidth="1"/>
    <col min="4624" max="4624" width="16.5703125" style="465" bestFit="1" customWidth="1"/>
    <col min="4625" max="4862" width="10.140625" style="465"/>
    <col min="4863" max="4863" width="10.140625" style="465" customWidth="1"/>
    <col min="4864" max="4864" width="27.5703125" style="465" customWidth="1"/>
    <col min="4865" max="4865" width="10.140625" style="465" customWidth="1"/>
    <col min="4866" max="4866" width="35.28515625" style="465" customWidth="1"/>
    <col min="4867" max="4867" width="15.42578125" style="465" customWidth="1"/>
    <col min="4868" max="4868" width="15" style="465" customWidth="1"/>
    <col min="4869" max="4869" width="17" style="465" customWidth="1"/>
    <col min="4870" max="4870" width="19" style="465" customWidth="1"/>
    <col min="4871" max="4871" width="16.5703125" style="465" bestFit="1" customWidth="1"/>
    <col min="4872" max="4872" width="16" style="465" customWidth="1"/>
    <col min="4873" max="4873" width="17.7109375" style="465" customWidth="1"/>
    <col min="4874" max="4874" width="17.140625" style="465" customWidth="1"/>
    <col min="4875" max="4875" width="18.7109375" style="465" customWidth="1"/>
    <col min="4876" max="4876" width="18.85546875" style="465" bestFit="1" customWidth="1"/>
    <col min="4877" max="4877" width="14.140625" style="465" customWidth="1"/>
    <col min="4878" max="4878" width="15.5703125" style="465" bestFit="1" customWidth="1"/>
    <col min="4879" max="4879" width="10.140625" style="465" customWidth="1"/>
    <col min="4880" max="4880" width="16.5703125" style="465" bestFit="1" customWidth="1"/>
    <col min="4881" max="5118" width="10.140625" style="465"/>
    <col min="5119" max="5119" width="10.140625" style="465" customWidth="1"/>
    <col min="5120" max="5120" width="27.5703125" style="465" customWidth="1"/>
    <col min="5121" max="5121" width="10.140625" style="465" customWidth="1"/>
    <col min="5122" max="5122" width="35.28515625" style="465" customWidth="1"/>
    <col min="5123" max="5123" width="15.42578125" style="465" customWidth="1"/>
    <col min="5124" max="5124" width="15" style="465" customWidth="1"/>
    <col min="5125" max="5125" width="17" style="465" customWidth="1"/>
    <col min="5126" max="5126" width="19" style="465" customWidth="1"/>
    <col min="5127" max="5127" width="16.5703125" style="465" bestFit="1" customWidth="1"/>
    <col min="5128" max="5128" width="16" style="465" customWidth="1"/>
    <col min="5129" max="5129" width="17.7109375" style="465" customWidth="1"/>
    <col min="5130" max="5130" width="17.140625" style="465" customWidth="1"/>
    <col min="5131" max="5131" width="18.7109375" style="465" customWidth="1"/>
    <col min="5132" max="5132" width="18.85546875" style="465" bestFit="1" customWidth="1"/>
    <col min="5133" max="5133" width="14.140625" style="465" customWidth="1"/>
    <col min="5134" max="5134" width="15.5703125" style="465" bestFit="1" customWidth="1"/>
    <col min="5135" max="5135" width="10.140625" style="465" customWidth="1"/>
    <col min="5136" max="5136" width="16.5703125" style="465" bestFit="1" customWidth="1"/>
    <col min="5137" max="5374" width="10.140625" style="465"/>
    <col min="5375" max="5375" width="10.140625" style="465" customWidth="1"/>
    <col min="5376" max="5376" width="27.5703125" style="465" customWidth="1"/>
    <col min="5377" max="5377" width="10.140625" style="465" customWidth="1"/>
    <col min="5378" max="5378" width="35.28515625" style="465" customWidth="1"/>
    <col min="5379" max="5379" width="15.42578125" style="465" customWidth="1"/>
    <col min="5380" max="5380" width="15" style="465" customWidth="1"/>
    <col min="5381" max="5381" width="17" style="465" customWidth="1"/>
    <col min="5382" max="5382" width="19" style="465" customWidth="1"/>
    <col min="5383" max="5383" width="16.5703125" style="465" bestFit="1" customWidth="1"/>
    <col min="5384" max="5384" width="16" style="465" customWidth="1"/>
    <col min="5385" max="5385" width="17.7109375" style="465" customWidth="1"/>
    <col min="5386" max="5386" width="17.140625" style="465" customWidth="1"/>
    <col min="5387" max="5387" width="18.7109375" style="465" customWidth="1"/>
    <col min="5388" max="5388" width="18.85546875" style="465" bestFit="1" customWidth="1"/>
    <col min="5389" max="5389" width="14.140625" style="465" customWidth="1"/>
    <col min="5390" max="5390" width="15.5703125" style="465" bestFit="1" customWidth="1"/>
    <col min="5391" max="5391" width="10.140625" style="465" customWidth="1"/>
    <col min="5392" max="5392" width="16.5703125" style="465" bestFit="1" customWidth="1"/>
    <col min="5393" max="5630" width="10.140625" style="465"/>
    <col min="5631" max="5631" width="10.140625" style="465" customWidth="1"/>
    <col min="5632" max="5632" width="27.5703125" style="465" customWidth="1"/>
    <col min="5633" max="5633" width="10.140625" style="465" customWidth="1"/>
    <col min="5634" max="5634" width="35.28515625" style="465" customWidth="1"/>
    <col min="5635" max="5635" width="15.42578125" style="465" customWidth="1"/>
    <col min="5636" max="5636" width="15" style="465" customWidth="1"/>
    <col min="5637" max="5637" width="17" style="465" customWidth="1"/>
    <col min="5638" max="5638" width="19" style="465" customWidth="1"/>
    <col min="5639" max="5639" width="16.5703125" style="465" bestFit="1" customWidth="1"/>
    <col min="5640" max="5640" width="16" style="465" customWidth="1"/>
    <col min="5641" max="5641" width="17.7109375" style="465" customWidth="1"/>
    <col min="5642" max="5642" width="17.140625" style="465" customWidth="1"/>
    <col min="5643" max="5643" width="18.7109375" style="465" customWidth="1"/>
    <col min="5644" max="5644" width="18.85546875" style="465" bestFit="1" customWidth="1"/>
    <col min="5645" max="5645" width="14.140625" style="465" customWidth="1"/>
    <col min="5646" max="5646" width="15.5703125" style="465" bestFit="1" customWidth="1"/>
    <col min="5647" max="5647" width="10.140625" style="465" customWidth="1"/>
    <col min="5648" max="5648" width="16.5703125" style="465" bestFit="1" customWidth="1"/>
    <col min="5649" max="5886" width="10.140625" style="465"/>
    <col min="5887" max="5887" width="10.140625" style="465" customWidth="1"/>
    <col min="5888" max="5888" width="27.5703125" style="465" customWidth="1"/>
    <col min="5889" max="5889" width="10.140625" style="465" customWidth="1"/>
    <col min="5890" max="5890" width="35.28515625" style="465" customWidth="1"/>
    <col min="5891" max="5891" width="15.42578125" style="465" customWidth="1"/>
    <col min="5892" max="5892" width="15" style="465" customWidth="1"/>
    <col min="5893" max="5893" width="17" style="465" customWidth="1"/>
    <col min="5894" max="5894" width="19" style="465" customWidth="1"/>
    <col min="5895" max="5895" width="16.5703125" style="465" bestFit="1" customWidth="1"/>
    <col min="5896" max="5896" width="16" style="465" customWidth="1"/>
    <col min="5897" max="5897" width="17.7109375" style="465" customWidth="1"/>
    <col min="5898" max="5898" width="17.140625" style="465" customWidth="1"/>
    <col min="5899" max="5899" width="18.7109375" style="465" customWidth="1"/>
    <col min="5900" max="5900" width="18.85546875" style="465" bestFit="1" customWidth="1"/>
    <col min="5901" max="5901" width="14.140625" style="465" customWidth="1"/>
    <col min="5902" max="5902" width="15.5703125" style="465" bestFit="1" customWidth="1"/>
    <col min="5903" max="5903" width="10.140625" style="465" customWidth="1"/>
    <col min="5904" max="5904" width="16.5703125" style="465" bestFit="1" customWidth="1"/>
    <col min="5905" max="6142" width="10.140625" style="465"/>
    <col min="6143" max="6143" width="10.140625" style="465" customWidth="1"/>
    <col min="6144" max="6144" width="27.5703125" style="465" customWidth="1"/>
    <col min="6145" max="6145" width="10.140625" style="465" customWidth="1"/>
    <col min="6146" max="6146" width="35.28515625" style="465" customWidth="1"/>
    <col min="6147" max="6147" width="15.42578125" style="465" customWidth="1"/>
    <col min="6148" max="6148" width="15" style="465" customWidth="1"/>
    <col min="6149" max="6149" width="17" style="465" customWidth="1"/>
    <col min="6150" max="6150" width="19" style="465" customWidth="1"/>
    <col min="6151" max="6151" width="16.5703125" style="465" bestFit="1" customWidth="1"/>
    <col min="6152" max="6152" width="16" style="465" customWidth="1"/>
    <col min="6153" max="6153" width="17.7109375" style="465" customWidth="1"/>
    <col min="6154" max="6154" width="17.140625" style="465" customWidth="1"/>
    <col min="6155" max="6155" width="18.7109375" style="465" customWidth="1"/>
    <col min="6156" max="6156" width="18.85546875" style="465" bestFit="1" customWidth="1"/>
    <col min="6157" max="6157" width="14.140625" style="465" customWidth="1"/>
    <col min="6158" max="6158" width="15.5703125" style="465" bestFit="1" customWidth="1"/>
    <col min="6159" max="6159" width="10.140625" style="465" customWidth="1"/>
    <col min="6160" max="6160" width="16.5703125" style="465" bestFit="1" customWidth="1"/>
    <col min="6161" max="6398" width="10.140625" style="465"/>
    <col min="6399" max="6399" width="10.140625" style="465" customWidth="1"/>
    <col min="6400" max="6400" width="27.5703125" style="465" customWidth="1"/>
    <col min="6401" max="6401" width="10.140625" style="465" customWidth="1"/>
    <col min="6402" max="6402" width="35.28515625" style="465" customWidth="1"/>
    <col min="6403" max="6403" width="15.42578125" style="465" customWidth="1"/>
    <col min="6404" max="6404" width="15" style="465" customWidth="1"/>
    <col min="6405" max="6405" width="17" style="465" customWidth="1"/>
    <col min="6406" max="6406" width="19" style="465" customWidth="1"/>
    <col min="6407" max="6407" width="16.5703125" style="465" bestFit="1" customWidth="1"/>
    <col min="6408" max="6408" width="16" style="465" customWidth="1"/>
    <col min="6409" max="6409" width="17.7109375" style="465" customWidth="1"/>
    <col min="6410" max="6410" width="17.140625" style="465" customWidth="1"/>
    <col min="6411" max="6411" width="18.7109375" style="465" customWidth="1"/>
    <col min="6412" max="6412" width="18.85546875" style="465" bestFit="1" customWidth="1"/>
    <col min="6413" max="6413" width="14.140625" style="465" customWidth="1"/>
    <col min="6414" max="6414" width="15.5703125" style="465" bestFit="1" customWidth="1"/>
    <col min="6415" max="6415" width="10.140625" style="465" customWidth="1"/>
    <col min="6416" max="6416" width="16.5703125" style="465" bestFit="1" customWidth="1"/>
    <col min="6417" max="6654" width="10.140625" style="465"/>
    <col min="6655" max="6655" width="10.140625" style="465" customWidth="1"/>
    <col min="6656" max="6656" width="27.5703125" style="465" customWidth="1"/>
    <col min="6657" max="6657" width="10.140625" style="465" customWidth="1"/>
    <col min="6658" max="6658" width="35.28515625" style="465" customWidth="1"/>
    <col min="6659" max="6659" width="15.42578125" style="465" customWidth="1"/>
    <col min="6660" max="6660" width="15" style="465" customWidth="1"/>
    <col min="6661" max="6661" width="17" style="465" customWidth="1"/>
    <col min="6662" max="6662" width="19" style="465" customWidth="1"/>
    <col min="6663" max="6663" width="16.5703125" style="465" bestFit="1" customWidth="1"/>
    <col min="6664" max="6664" width="16" style="465" customWidth="1"/>
    <col min="6665" max="6665" width="17.7109375" style="465" customWidth="1"/>
    <col min="6666" max="6666" width="17.140625" style="465" customWidth="1"/>
    <col min="6667" max="6667" width="18.7109375" style="465" customWidth="1"/>
    <col min="6668" max="6668" width="18.85546875" style="465" bestFit="1" customWidth="1"/>
    <col min="6669" max="6669" width="14.140625" style="465" customWidth="1"/>
    <col min="6670" max="6670" width="15.5703125" style="465" bestFit="1" customWidth="1"/>
    <col min="6671" max="6671" width="10.140625" style="465" customWidth="1"/>
    <col min="6672" max="6672" width="16.5703125" style="465" bestFit="1" customWidth="1"/>
    <col min="6673" max="6910" width="10.140625" style="465"/>
    <col min="6911" max="6911" width="10.140625" style="465" customWidth="1"/>
    <col min="6912" max="6912" width="27.5703125" style="465" customWidth="1"/>
    <col min="6913" max="6913" width="10.140625" style="465" customWidth="1"/>
    <col min="6914" max="6914" width="35.28515625" style="465" customWidth="1"/>
    <col min="6915" max="6915" width="15.42578125" style="465" customWidth="1"/>
    <col min="6916" max="6916" width="15" style="465" customWidth="1"/>
    <col min="6917" max="6917" width="17" style="465" customWidth="1"/>
    <col min="6918" max="6918" width="19" style="465" customWidth="1"/>
    <col min="6919" max="6919" width="16.5703125" style="465" bestFit="1" customWidth="1"/>
    <col min="6920" max="6920" width="16" style="465" customWidth="1"/>
    <col min="6921" max="6921" width="17.7109375" style="465" customWidth="1"/>
    <col min="6922" max="6922" width="17.140625" style="465" customWidth="1"/>
    <col min="6923" max="6923" width="18.7109375" style="465" customWidth="1"/>
    <col min="6924" max="6924" width="18.85546875" style="465" bestFit="1" customWidth="1"/>
    <col min="6925" max="6925" width="14.140625" style="465" customWidth="1"/>
    <col min="6926" max="6926" width="15.5703125" style="465" bestFit="1" customWidth="1"/>
    <col min="6927" max="6927" width="10.140625" style="465" customWidth="1"/>
    <col min="6928" max="6928" width="16.5703125" style="465" bestFit="1" customWidth="1"/>
    <col min="6929" max="7166" width="10.140625" style="465"/>
    <col min="7167" max="7167" width="10.140625" style="465" customWidth="1"/>
    <col min="7168" max="7168" width="27.5703125" style="465" customWidth="1"/>
    <col min="7169" max="7169" width="10.140625" style="465" customWidth="1"/>
    <col min="7170" max="7170" width="35.28515625" style="465" customWidth="1"/>
    <col min="7171" max="7171" width="15.42578125" style="465" customWidth="1"/>
    <col min="7172" max="7172" width="15" style="465" customWidth="1"/>
    <col min="7173" max="7173" width="17" style="465" customWidth="1"/>
    <col min="7174" max="7174" width="19" style="465" customWidth="1"/>
    <col min="7175" max="7175" width="16.5703125" style="465" bestFit="1" customWidth="1"/>
    <col min="7176" max="7176" width="16" style="465" customWidth="1"/>
    <col min="7177" max="7177" width="17.7109375" style="465" customWidth="1"/>
    <col min="7178" max="7178" width="17.140625" style="465" customWidth="1"/>
    <col min="7179" max="7179" width="18.7109375" style="465" customWidth="1"/>
    <col min="7180" max="7180" width="18.85546875" style="465" bestFit="1" customWidth="1"/>
    <col min="7181" max="7181" width="14.140625" style="465" customWidth="1"/>
    <col min="7182" max="7182" width="15.5703125" style="465" bestFit="1" customWidth="1"/>
    <col min="7183" max="7183" width="10.140625" style="465" customWidth="1"/>
    <col min="7184" max="7184" width="16.5703125" style="465" bestFit="1" customWidth="1"/>
    <col min="7185" max="7422" width="10.140625" style="465"/>
    <col min="7423" max="7423" width="10.140625" style="465" customWidth="1"/>
    <col min="7424" max="7424" width="27.5703125" style="465" customWidth="1"/>
    <col min="7425" max="7425" width="10.140625" style="465" customWidth="1"/>
    <col min="7426" max="7426" width="35.28515625" style="465" customWidth="1"/>
    <col min="7427" max="7427" width="15.42578125" style="465" customWidth="1"/>
    <col min="7428" max="7428" width="15" style="465" customWidth="1"/>
    <col min="7429" max="7429" width="17" style="465" customWidth="1"/>
    <col min="7430" max="7430" width="19" style="465" customWidth="1"/>
    <col min="7431" max="7431" width="16.5703125" style="465" bestFit="1" customWidth="1"/>
    <col min="7432" max="7432" width="16" style="465" customWidth="1"/>
    <col min="7433" max="7433" width="17.7109375" style="465" customWidth="1"/>
    <col min="7434" max="7434" width="17.140625" style="465" customWidth="1"/>
    <col min="7435" max="7435" width="18.7109375" style="465" customWidth="1"/>
    <col min="7436" max="7436" width="18.85546875" style="465" bestFit="1" customWidth="1"/>
    <col min="7437" max="7437" width="14.140625" style="465" customWidth="1"/>
    <col min="7438" max="7438" width="15.5703125" style="465" bestFit="1" customWidth="1"/>
    <col min="7439" max="7439" width="10.140625" style="465" customWidth="1"/>
    <col min="7440" max="7440" width="16.5703125" style="465" bestFit="1" customWidth="1"/>
    <col min="7441" max="7678" width="10.140625" style="465"/>
    <col min="7679" max="7679" width="10.140625" style="465" customWidth="1"/>
    <col min="7680" max="7680" width="27.5703125" style="465" customWidth="1"/>
    <col min="7681" max="7681" width="10.140625" style="465" customWidth="1"/>
    <col min="7682" max="7682" width="35.28515625" style="465" customWidth="1"/>
    <col min="7683" max="7683" width="15.42578125" style="465" customWidth="1"/>
    <col min="7684" max="7684" width="15" style="465" customWidth="1"/>
    <col min="7685" max="7685" width="17" style="465" customWidth="1"/>
    <col min="7686" max="7686" width="19" style="465" customWidth="1"/>
    <col min="7687" max="7687" width="16.5703125" style="465" bestFit="1" customWidth="1"/>
    <col min="7688" max="7688" width="16" style="465" customWidth="1"/>
    <col min="7689" max="7689" width="17.7109375" style="465" customWidth="1"/>
    <col min="7690" max="7690" width="17.140625" style="465" customWidth="1"/>
    <col min="7691" max="7691" width="18.7109375" style="465" customWidth="1"/>
    <col min="7692" max="7692" width="18.85546875" style="465" bestFit="1" customWidth="1"/>
    <col min="7693" max="7693" width="14.140625" style="465" customWidth="1"/>
    <col min="7694" max="7694" width="15.5703125" style="465" bestFit="1" customWidth="1"/>
    <col min="7695" max="7695" width="10.140625" style="465" customWidth="1"/>
    <col min="7696" max="7696" width="16.5703125" style="465" bestFit="1" customWidth="1"/>
    <col min="7697" max="7934" width="10.140625" style="465"/>
    <col min="7935" max="7935" width="10.140625" style="465" customWidth="1"/>
    <col min="7936" max="7936" width="27.5703125" style="465" customWidth="1"/>
    <col min="7937" max="7937" width="10.140625" style="465" customWidth="1"/>
    <col min="7938" max="7938" width="35.28515625" style="465" customWidth="1"/>
    <col min="7939" max="7939" width="15.42578125" style="465" customWidth="1"/>
    <col min="7940" max="7940" width="15" style="465" customWidth="1"/>
    <col min="7941" max="7941" width="17" style="465" customWidth="1"/>
    <col min="7942" max="7942" width="19" style="465" customWidth="1"/>
    <col min="7943" max="7943" width="16.5703125" style="465" bestFit="1" customWidth="1"/>
    <col min="7944" max="7944" width="16" style="465" customWidth="1"/>
    <col min="7945" max="7945" width="17.7109375" style="465" customWidth="1"/>
    <col min="7946" max="7946" width="17.140625" style="465" customWidth="1"/>
    <col min="7947" max="7947" width="18.7109375" style="465" customWidth="1"/>
    <col min="7948" max="7948" width="18.85546875" style="465" bestFit="1" customWidth="1"/>
    <col min="7949" max="7949" width="14.140625" style="465" customWidth="1"/>
    <col min="7950" max="7950" width="15.5703125" style="465" bestFit="1" customWidth="1"/>
    <col min="7951" max="7951" width="10.140625" style="465" customWidth="1"/>
    <col min="7952" max="7952" width="16.5703125" style="465" bestFit="1" customWidth="1"/>
    <col min="7953" max="8190" width="10.140625" style="465"/>
    <col min="8191" max="8191" width="10.140625" style="465" customWidth="1"/>
    <col min="8192" max="8192" width="27.5703125" style="465" customWidth="1"/>
    <col min="8193" max="8193" width="10.140625" style="465" customWidth="1"/>
    <col min="8194" max="8194" width="35.28515625" style="465" customWidth="1"/>
    <col min="8195" max="8195" width="15.42578125" style="465" customWidth="1"/>
    <col min="8196" max="8196" width="15" style="465" customWidth="1"/>
    <col min="8197" max="8197" width="17" style="465" customWidth="1"/>
    <col min="8198" max="8198" width="19" style="465" customWidth="1"/>
    <col min="8199" max="8199" width="16.5703125" style="465" bestFit="1" customWidth="1"/>
    <col min="8200" max="8200" width="16" style="465" customWidth="1"/>
    <col min="8201" max="8201" width="17.7109375" style="465" customWidth="1"/>
    <col min="8202" max="8202" width="17.140625" style="465" customWidth="1"/>
    <col min="8203" max="8203" width="18.7109375" style="465" customWidth="1"/>
    <col min="8204" max="8204" width="18.85546875" style="465" bestFit="1" customWidth="1"/>
    <col min="8205" max="8205" width="14.140625" style="465" customWidth="1"/>
    <col min="8206" max="8206" width="15.5703125" style="465" bestFit="1" customWidth="1"/>
    <col min="8207" max="8207" width="10.140625" style="465" customWidth="1"/>
    <col min="8208" max="8208" width="16.5703125" style="465" bestFit="1" customWidth="1"/>
    <col min="8209" max="8446" width="10.140625" style="465"/>
    <col min="8447" max="8447" width="10.140625" style="465" customWidth="1"/>
    <col min="8448" max="8448" width="27.5703125" style="465" customWidth="1"/>
    <col min="8449" max="8449" width="10.140625" style="465" customWidth="1"/>
    <col min="8450" max="8450" width="35.28515625" style="465" customWidth="1"/>
    <col min="8451" max="8451" width="15.42578125" style="465" customWidth="1"/>
    <col min="8452" max="8452" width="15" style="465" customWidth="1"/>
    <col min="8453" max="8453" width="17" style="465" customWidth="1"/>
    <col min="8454" max="8454" width="19" style="465" customWidth="1"/>
    <col min="8455" max="8455" width="16.5703125" style="465" bestFit="1" customWidth="1"/>
    <col min="8456" max="8456" width="16" style="465" customWidth="1"/>
    <col min="8457" max="8457" width="17.7109375" style="465" customWidth="1"/>
    <col min="8458" max="8458" width="17.140625" style="465" customWidth="1"/>
    <col min="8459" max="8459" width="18.7109375" style="465" customWidth="1"/>
    <col min="8460" max="8460" width="18.85546875" style="465" bestFit="1" customWidth="1"/>
    <col min="8461" max="8461" width="14.140625" style="465" customWidth="1"/>
    <col min="8462" max="8462" width="15.5703125" style="465" bestFit="1" customWidth="1"/>
    <col min="8463" max="8463" width="10.140625" style="465" customWidth="1"/>
    <col min="8464" max="8464" width="16.5703125" style="465" bestFit="1" customWidth="1"/>
    <col min="8465" max="8702" width="10.140625" style="465"/>
    <col min="8703" max="8703" width="10.140625" style="465" customWidth="1"/>
    <col min="8704" max="8704" width="27.5703125" style="465" customWidth="1"/>
    <col min="8705" max="8705" width="10.140625" style="465" customWidth="1"/>
    <col min="8706" max="8706" width="35.28515625" style="465" customWidth="1"/>
    <col min="8707" max="8707" width="15.42578125" style="465" customWidth="1"/>
    <col min="8708" max="8708" width="15" style="465" customWidth="1"/>
    <col min="8709" max="8709" width="17" style="465" customWidth="1"/>
    <col min="8710" max="8710" width="19" style="465" customWidth="1"/>
    <col min="8711" max="8711" width="16.5703125" style="465" bestFit="1" customWidth="1"/>
    <col min="8712" max="8712" width="16" style="465" customWidth="1"/>
    <col min="8713" max="8713" width="17.7109375" style="465" customWidth="1"/>
    <col min="8714" max="8714" width="17.140625" style="465" customWidth="1"/>
    <col min="8715" max="8715" width="18.7109375" style="465" customWidth="1"/>
    <col min="8716" max="8716" width="18.85546875" style="465" bestFit="1" customWidth="1"/>
    <col min="8717" max="8717" width="14.140625" style="465" customWidth="1"/>
    <col min="8718" max="8718" width="15.5703125" style="465" bestFit="1" customWidth="1"/>
    <col min="8719" max="8719" width="10.140625" style="465" customWidth="1"/>
    <col min="8720" max="8720" width="16.5703125" style="465" bestFit="1" customWidth="1"/>
    <col min="8721" max="8958" width="10.140625" style="465"/>
    <col min="8959" max="8959" width="10.140625" style="465" customWidth="1"/>
    <col min="8960" max="8960" width="27.5703125" style="465" customWidth="1"/>
    <col min="8961" max="8961" width="10.140625" style="465" customWidth="1"/>
    <col min="8962" max="8962" width="35.28515625" style="465" customWidth="1"/>
    <col min="8963" max="8963" width="15.42578125" style="465" customWidth="1"/>
    <col min="8964" max="8964" width="15" style="465" customWidth="1"/>
    <col min="8965" max="8965" width="17" style="465" customWidth="1"/>
    <col min="8966" max="8966" width="19" style="465" customWidth="1"/>
    <col min="8967" max="8967" width="16.5703125" style="465" bestFit="1" customWidth="1"/>
    <col min="8968" max="8968" width="16" style="465" customWidth="1"/>
    <col min="8969" max="8969" width="17.7109375" style="465" customWidth="1"/>
    <col min="8970" max="8970" width="17.140625" style="465" customWidth="1"/>
    <col min="8971" max="8971" width="18.7109375" style="465" customWidth="1"/>
    <col min="8972" max="8972" width="18.85546875" style="465" bestFit="1" customWidth="1"/>
    <col min="8973" max="8973" width="14.140625" style="465" customWidth="1"/>
    <col min="8974" max="8974" width="15.5703125" style="465" bestFit="1" customWidth="1"/>
    <col min="8975" max="8975" width="10.140625" style="465" customWidth="1"/>
    <col min="8976" max="8976" width="16.5703125" style="465" bestFit="1" customWidth="1"/>
    <col min="8977" max="9214" width="10.140625" style="465"/>
    <col min="9215" max="9215" width="10.140625" style="465" customWidth="1"/>
    <col min="9216" max="9216" width="27.5703125" style="465" customWidth="1"/>
    <col min="9217" max="9217" width="10.140625" style="465" customWidth="1"/>
    <col min="9218" max="9218" width="35.28515625" style="465" customWidth="1"/>
    <col min="9219" max="9219" width="15.42578125" style="465" customWidth="1"/>
    <col min="9220" max="9220" width="15" style="465" customWidth="1"/>
    <col min="9221" max="9221" width="17" style="465" customWidth="1"/>
    <col min="9222" max="9222" width="19" style="465" customWidth="1"/>
    <col min="9223" max="9223" width="16.5703125" style="465" bestFit="1" customWidth="1"/>
    <col min="9224" max="9224" width="16" style="465" customWidth="1"/>
    <col min="9225" max="9225" width="17.7109375" style="465" customWidth="1"/>
    <col min="9226" max="9226" width="17.140625" style="465" customWidth="1"/>
    <col min="9227" max="9227" width="18.7109375" style="465" customWidth="1"/>
    <col min="9228" max="9228" width="18.85546875" style="465" bestFit="1" customWidth="1"/>
    <col min="9229" max="9229" width="14.140625" style="465" customWidth="1"/>
    <col min="9230" max="9230" width="15.5703125" style="465" bestFit="1" customWidth="1"/>
    <col min="9231" max="9231" width="10.140625" style="465" customWidth="1"/>
    <col min="9232" max="9232" width="16.5703125" style="465" bestFit="1" customWidth="1"/>
    <col min="9233" max="9470" width="10.140625" style="465"/>
    <col min="9471" max="9471" width="10.140625" style="465" customWidth="1"/>
    <col min="9472" max="9472" width="27.5703125" style="465" customWidth="1"/>
    <col min="9473" max="9473" width="10.140625" style="465" customWidth="1"/>
    <col min="9474" max="9474" width="35.28515625" style="465" customWidth="1"/>
    <col min="9475" max="9475" width="15.42578125" style="465" customWidth="1"/>
    <col min="9476" max="9476" width="15" style="465" customWidth="1"/>
    <col min="9477" max="9477" width="17" style="465" customWidth="1"/>
    <col min="9478" max="9478" width="19" style="465" customWidth="1"/>
    <col min="9479" max="9479" width="16.5703125" style="465" bestFit="1" customWidth="1"/>
    <col min="9480" max="9480" width="16" style="465" customWidth="1"/>
    <col min="9481" max="9481" width="17.7109375" style="465" customWidth="1"/>
    <col min="9482" max="9482" width="17.140625" style="465" customWidth="1"/>
    <col min="9483" max="9483" width="18.7109375" style="465" customWidth="1"/>
    <col min="9484" max="9484" width="18.85546875" style="465" bestFit="1" customWidth="1"/>
    <col min="9485" max="9485" width="14.140625" style="465" customWidth="1"/>
    <col min="9486" max="9486" width="15.5703125" style="465" bestFit="1" customWidth="1"/>
    <col min="9487" max="9487" width="10.140625" style="465" customWidth="1"/>
    <col min="9488" max="9488" width="16.5703125" style="465" bestFit="1" customWidth="1"/>
    <col min="9489" max="9726" width="10.140625" style="465"/>
    <col min="9727" max="9727" width="10.140625" style="465" customWidth="1"/>
    <col min="9728" max="9728" width="27.5703125" style="465" customWidth="1"/>
    <col min="9729" max="9729" width="10.140625" style="465" customWidth="1"/>
    <col min="9730" max="9730" width="35.28515625" style="465" customWidth="1"/>
    <col min="9731" max="9731" width="15.42578125" style="465" customWidth="1"/>
    <col min="9732" max="9732" width="15" style="465" customWidth="1"/>
    <col min="9733" max="9733" width="17" style="465" customWidth="1"/>
    <col min="9734" max="9734" width="19" style="465" customWidth="1"/>
    <col min="9735" max="9735" width="16.5703125" style="465" bestFit="1" customWidth="1"/>
    <col min="9736" max="9736" width="16" style="465" customWidth="1"/>
    <col min="9737" max="9737" width="17.7109375" style="465" customWidth="1"/>
    <col min="9738" max="9738" width="17.140625" style="465" customWidth="1"/>
    <col min="9739" max="9739" width="18.7109375" style="465" customWidth="1"/>
    <col min="9740" max="9740" width="18.85546875" style="465" bestFit="1" customWidth="1"/>
    <col min="9741" max="9741" width="14.140625" style="465" customWidth="1"/>
    <col min="9742" max="9742" width="15.5703125" style="465" bestFit="1" customWidth="1"/>
    <col min="9743" max="9743" width="10.140625" style="465" customWidth="1"/>
    <col min="9744" max="9744" width="16.5703125" style="465" bestFit="1" customWidth="1"/>
    <col min="9745" max="9982" width="10.140625" style="465"/>
    <col min="9983" max="9983" width="10.140625" style="465" customWidth="1"/>
    <col min="9984" max="9984" width="27.5703125" style="465" customWidth="1"/>
    <col min="9985" max="9985" width="10.140625" style="465" customWidth="1"/>
    <col min="9986" max="9986" width="35.28515625" style="465" customWidth="1"/>
    <col min="9987" max="9987" width="15.42578125" style="465" customWidth="1"/>
    <col min="9988" max="9988" width="15" style="465" customWidth="1"/>
    <col min="9989" max="9989" width="17" style="465" customWidth="1"/>
    <col min="9990" max="9990" width="19" style="465" customWidth="1"/>
    <col min="9991" max="9991" width="16.5703125" style="465" bestFit="1" customWidth="1"/>
    <col min="9992" max="9992" width="16" style="465" customWidth="1"/>
    <col min="9993" max="9993" width="17.7109375" style="465" customWidth="1"/>
    <col min="9994" max="9994" width="17.140625" style="465" customWidth="1"/>
    <col min="9995" max="9995" width="18.7109375" style="465" customWidth="1"/>
    <col min="9996" max="9996" width="18.85546875" style="465" bestFit="1" customWidth="1"/>
    <col min="9997" max="9997" width="14.140625" style="465" customWidth="1"/>
    <col min="9998" max="9998" width="15.5703125" style="465" bestFit="1" customWidth="1"/>
    <col min="9999" max="9999" width="10.140625" style="465" customWidth="1"/>
    <col min="10000" max="10000" width="16.5703125" style="465" bestFit="1" customWidth="1"/>
    <col min="10001" max="10238" width="10.140625" style="465"/>
    <col min="10239" max="10239" width="10.140625" style="465" customWidth="1"/>
    <col min="10240" max="10240" width="27.5703125" style="465" customWidth="1"/>
    <col min="10241" max="10241" width="10.140625" style="465" customWidth="1"/>
    <col min="10242" max="10242" width="35.28515625" style="465" customWidth="1"/>
    <col min="10243" max="10243" width="15.42578125" style="465" customWidth="1"/>
    <col min="10244" max="10244" width="15" style="465" customWidth="1"/>
    <col min="10245" max="10245" width="17" style="465" customWidth="1"/>
    <col min="10246" max="10246" width="19" style="465" customWidth="1"/>
    <col min="10247" max="10247" width="16.5703125" style="465" bestFit="1" customWidth="1"/>
    <col min="10248" max="10248" width="16" style="465" customWidth="1"/>
    <col min="10249" max="10249" width="17.7109375" style="465" customWidth="1"/>
    <col min="10250" max="10250" width="17.140625" style="465" customWidth="1"/>
    <col min="10251" max="10251" width="18.7109375" style="465" customWidth="1"/>
    <col min="10252" max="10252" width="18.85546875" style="465" bestFit="1" customWidth="1"/>
    <col min="10253" max="10253" width="14.140625" style="465" customWidth="1"/>
    <col min="10254" max="10254" width="15.5703125" style="465" bestFit="1" customWidth="1"/>
    <col min="10255" max="10255" width="10.140625" style="465" customWidth="1"/>
    <col min="10256" max="10256" width="16.5703125" style="465" bestFit="1" customWidth="1"/>
    <col min="10257" max="10494" width="10.140625" style="465"/>
    <col min="10495" max="10495" width="10.140625" style="465" customWidth="1"/>
    <col min="10496" max="10496" width="27.5703125" style="465" customWidth="1"/>
    <col min="10497" max="10497" width="10.140625" style="465" customWidth="1"/>
    <col min="10498" max="10498" width="35.28515625" style="465" customWidth="1"/>
    <col min="10499" max="10499" width="15.42578125" style="465" customWidth="1"/>
    <col min="10500" max="10500" width="15" style="465" customWidth="1"/>
    <col min="10501" max="10501" width="17" style="465" customWidth="1"/>
    <col min="10502" max="10502" width="19" style="465" customWidth="1"/>
    <col min="10503" max="10503" width="16.5703125" style="465" bestFit="1" customWidth="1"/>
    <col min="10504" max="10504" width="16" style="465" customWidth="1"/>
    <col min="10505" max="10505" width="17.7109375" style="465" customWidth="1"/>
    <col min="10506" max="10506" width="17.140625" style="465" customWidth="1"/>
    <col min="10507" max="10507" width="18.7109375" style="465" customWidth="1"/>
    <col min="10508" max="10508" width="18.85546875" style="465" bestFit="1" customWidth="1"/>
    <col min="10509" max="10509" width="14.140625" style="465" customWidth="1"/>
    <col min="10510" max="10510" width="15.5703125" style="465" bestFit="1" customWidth="1"/>
    <col min="10511" max="10511" width="10.140625" style="465" customWidth="1"/>
    <col min="10512" max="10512" width="16.5703125" style="465" bestFit="1" customWidth="1"/>
    <col min="10513" max="10750" width="10.140625" style="465"/>
    <col min="10751" max="10751" width="10.140625" style="465" customWidth="1"/>
    <col min="10752" max="10752" width="27.5703125" style="465" customWidth="1"/>
    <col min="10753" max="10753" width="10.140625" style="465" customWidth="1"/>
    <col min="10754" max="10754" width="35.28515625" style="465" customWidth="1"/>
    <col min="10755" max="10755" width="15.42578125" style="465" customWidth="1"/>
    <col min="10756" max="10756" width="15" style="465" customWidth="1"/>
    <col min="10757" max="10757" width="17" style="465" customWidth="1"/>
    <col min="10758" max="10758" width="19" style="465" customWidth="1"/>
    <col min="10759" max="10759" width="16.5703125" style="465" bestFit="1" customWidth="1"/>
    <col min="10760" max="10760" width="16" style="465" customWidth="1"/>
    <col min="10761" max="10761" width="17.7109375" style="465" customWidth="1"/>
    <col min="10762" max="10762" width="17.140625" style="465" customWidth="1"/>
    <col min="10763" max="10763" width="18.7109375" style="465" customWidth="1"/>
    <col min="10764" max="10764" width="18.85546875" style="465" bestFit="1" customWidth="1"/>
    <col min="10765" max="10765" width="14.140625" style="465" customWidth="1"/>
    <col min="10766" max="10766" width="15.5703125" style="465" bestFit="1" customWidth="1"/>
    <col min="10767" max="10767" width="10.140625" style="465" customWidth="1"/>
    <col min="10768" max="10768" width="16.5703125" style="465" bestFit="1" customWidth="1"/>
    <col min="10769" max="11006" width="10.140625" style="465"/>
    <col min="11007" max="11007" width="10.140625" style="465" customWidth="1"/>
    <col min="11008" max="11008" width="27.5703125" style="465" customWidth="1"/>
    <col min="11009" max="11009" width="10.140625" style="465" customWidth="1"/>
    <col min="11010" max="11010" width="35.28515625" style="465" customWidth="1"/>
    <col min="11011" max="11011" width="15.42578125" style="465" customWidth="1"/>
    <col min="11012" max="11012" width="15" style="465" customWidth="1"/>
    <col min="11013" max="11013" width="17" style="465" customWidth="1"/>
    <col min="11014" max="11014" width="19" style="465" customWidth="1"/>
    <col min="11015" max="11015" width="16.5703125" style="465" bestFit="1" customWidth="1"/>
    <col min="11016" max="11016" width="16" style="465" customWidth="1"/>
    <col min="11017" max="11017" width="17.7109375" style="465" customWidth="1"/>
    <col min="11018" max="11018" width="17.140625" style="465" customWidth="1"/>
    <col min="11019" max="11019" width="18.7109375" style="465" customWidth="1"/>
    <col min="11020" max="11020" width="18.85546875" style="465" bestFit="1" customWidth="1"/>
    <col min="11021" max="11021" width="14.140625" style="465" customWidth="1"/>
    <col min="11022" max="11022" width="15.5703125" style="465" bestFit="1" customWidth="1"/>
    <col min="11023" max="11023" width="10.140625" style="465" customWidth="1"/>
    <col min="11024" max="11024" width="16.5703125" style="465" bestFit="1" customWidth="1"/>
    <col min="11025" max="11262" width="10.140625" style="465"/>
    <col min="11263" max="11263" width="10.140625" style="465" customWidth="1"/>
    <col min="11264" max="11264" width="27.5703125" style="465" customWidth="1"/>
    <col min="11265" max="11265" width="10.140625" style="465" customWidth="1"/>
    <col min="11266" max="11266" width="35.28515625" style="465" customWidth="1"/>
    <col min="11267" max="11267" width="15.42578125" style="465" customWidth="1"/>
    <col min="11268" max="11268" width="15" style="465" customWidth="1"/>
    <col min="11269" max="11269" width="17" style="465" customWidth="1"/>
    <col min="11270" max="11270" width="19" style="465" customWidth="1"/>
    <col min="11271" max="11271" width="16.5703125" style="465" bestFit="1" customWidth="1"/>
    <col min="11272" max="11272" width="16" style="465" customWidth="1"/>
    <col min="11273" max="11273" width="17.7109375" style="465" customWidth="1"/>
    <col min="11274" max="11274" width="17.140625" style="465" customWidth="1"/>
    <col min="11275" max="11275" width="18.7109375" style="465" customWidth="1"/>
    <col min="11276" max="11276" width="18.85546875" style="465" bestFit="1" customWidth="1"/>
    <col min="11277" max="11277" width="14.140625" style="465" customWidth="1"/>
    <col min="11278" max="11278" width="15.5703125" style="465" bestFit="1" customWidth="1"/>
    <col min="11279" max="11279" width="10.140625" style="465" customWidth="1"/>
    <col min="11280" max="11280" width="16.5703125" style="465" bestFit="1" customWidth="1"/>
    <col min="11281" max="11518" width="10.140625" style="465"/>
    <col min="11519" max="11519" width="10.140625" style="465" customWidth="1"/>
    <col min="11520" max="11520" width="27.5703125" style="465" customWidth="1"/>
    <col min="11521" max="11521" width="10.140625" style="465" customWidth="1"/>
    <col min="11522" max="11522" width="35.28515625" style="465" customWidth="1"/>
    <col min="11523" max="11523" width="15.42578125" style="465" customWidth="1"/>
    <col min="11524" max="11524" width="15" style="465" customWidth="1"/>
    <col min="11525" max="11525" width="17" style="465" customWidth="1"/>
    <col min="11526" max="11526" width="19" style="465" customWidth="1"/>
    <col min="11527" max="11527" width="16.5703125" style="465" bestFit="1" customWidth="1"/>
    <col min="11528" max="11528" width="16" style="465" customWidth="1"/>
    <col min="11529" max="11529" width="17.7109375" style="465" customWidth="1"/>
    <col min="11530" max="11530" width="17.140625" style="465" customWidth="1"/>
    <col min="11531" max="11531" width="18.7109375" style="465" customWidth="1"/>
    <col min="11532" max="11532" width="18.85546875" style="465" bestFit="1" customWidth="1"/>
    <col min="11533" max="11533" width="14.140625" style="465" customWidth="1"/>
    <col min="11534" max="11534" width="15.5703125" style="465" bestFit="1" customWidth="1"/>
    <col min="11535" max="11535" width="10.140625" style="465" customWidth="1"/>
    <col min="11536" max="11536" width="16.5703125" style="465" bestFit="1" customWidth="1"/>
    <col min="11537" max="11774" width="10.140625" style="465"/>
    <col min="11775" max="11775" width="10.140625" style="465" customWidth="1"/>
    <col min="11776" max="11776" width="27.5703125" style="465" customWidth="1"/>
    <col min="11777" max="11777" width="10.140625" style="465" customWidth="1"/>
    <col min="11778" max="11778" width="35.28515625" style="465" customWidth="1"/>
    <col min="11779" max="11779" width="15.42578125" style="465" customWidth="1"/>
    <col min="11780" max="11780" width="15" style="465" customWidth="1"/>
    <col min="11781" max="11781" width="17" style="465" customWidth="1"/>
    <col min="11782" max="11782" width="19" style="465" customWidth="1"/>
    <col min="11783" max="11783" width="16.5703125" style="465" bestFit="1" customWidth="1"/>
    <col min="11784" max="11784" width="16" style="465" customWidth="1"/>
    <col min="11785" max="11785" width="17.7109375" style="465" customWidth="1"/>
    <col min="11786" max="11786" width="17.140625" style="465" customWidth="1"/>
    <col min="11787" max="11787" width="18.7109375" style="465" customWidth="1"/>
    <col min="11788" max="11788" width="18.85546875" style="465" bestFit="1" customWidth="1"/>
    <col min="11789" max="11789" width="14.140625" style="465" customWidth="1"/>
    <col min="11790" max="11790" width="15.5703125" style="465" bestFit="1" customWidth="1"/>
    <col min="11791" max="11791" width="10.140625" style="465" customWidth="1"/>
    <col min="11792" max="11792" width="16.5703125" style="465" bestFit="1" customWidth="1"/>
    <col min="11793" max="12030" width="10.140625" style="465"/>
    <col min="12031" max="12031" width="10.140625" style="465" customWidth="1"/>
    <col min="12032" max="12032" width="27.5703125" style="465" customWidth="1"/>
    <col min="12033" max="12033" width="10.140625" style="465" customWidth="1"/>
    <col min="12034" max="12034" width="35.28515625" style="465" customWidth="1"/>
    <col min="12035" max="12035" width="15.42578125" style="465" customWidth="1"/>
    <col min="12036" max="12036" width="15" style="465" customWidth="1"/>
    <col min="12037" max="12037" width="17" style="465" customWidth="1"/>
    <col min="12038" max="12038" width="19" style="465" customWidth="1"/>
    <col min="12039" max="12039" width="16.5703125" style="465" bestFit="1" customWidth="1"/>
    <col min="12040" max="12040" width="16" style="465" customWidth="1"/>
    <col min="12041" max="12041" width="17.7109375" style="465" customWidth="1"/>
    <col min="12042" max="12042" width="17.140625" style="465" customWidth="1"/>
    <col min="12043" max="12043" width="18.7109375" style="465" customWidth="1"/>
    <col min="12044" max="12044" width="18.85546875" style="465" bestFit="1" customWidth="1"/>
    <col min="12045" max="12045" width="14.140625" style="465" customWidth="1"/>
    <col min="12046" max="12046" width="15.5703125" style="465" bestFit="1" customWidth="1"/>
    <col min="12047" max="12047" width="10.140625" style="465" customWidth="1"/>
    <col min="12048" max="12048" width="16.5703125" style="465" bestFit="1" customWidth="1"/>
    <col min="12049" max="12286" width="10.140625" style="465"/>
    <col min="12287" max="12287" width="10.140625" style="465" customWidth="1"/>
    <col min="12288" max="12288" width="27.5703125" style="465" customWidth="1"/>
    <col min="12289" max="12289" width="10.140625" style="465" customWidth="1"/>
    <col min="12290" max="12290" width="35.28515625" style="465" customWidth="1"/>
    <col min="12291" max="12291" width="15.42578125" style="465" customWidth="1"/>
    <col min="12292" max="12292" width="15" style="465" customWidth="1"/>
    <col min="12293" max="12293" width="17" style="465" customWidth="1"/>
    <col min="12294" max="12294" width="19" style="465" customWidth="1"/>
    <col min="12295" max="12295" width="16.5703125" style="465" bestFit="1" customWidth="1"/>
    <col min="12296" max="12296" width="16" style="465" customWidth="1"/>
    <col min="12297" max="12297" width="17.7109375" style="465" customWidth="1"/>
    <col min="12298" max="12298" width="17.140625" style="465" customWidth="1"/>
    <col min="12299" max="12299" width="18.7109375" style="465" customWidth="1"/>
    <col min="12300" max="12300" width="18.85546875" style="465" bestFit="1" customWidth="1"/>
    <col min="12301" max="12301" width="14.140625" style="465" customWidth="1"/>
    <col min="12302" max="12302" width="15.5703125" style="465" bestFit="1" customWidth="1"/>
    <col min="12303" max="12303" width="10.140625" style="465" customWidth="1"/>
    <col min="12304" max="12304" width="16.5703125" style="465" bestFit="1" customWidth="1"/>
    <col min="12305" max="12542" width="10.140625" style="465"/>
    <col min="12543" max="12543" width="10.140625" style="465" customWidth="1"/>
    <col min="12544" max="12544" width="27.5703125" style="465" customWidth="1"/>
    <col min="12545" max="12545" width="10.140625" style="465" customWidth="1"/>
    <col min="12546" max="12546" width="35.28515625" style="465" customWidth="1"/>
    <col min="12547" max="12547" width="15.42578125" style="465" customWidth="1"/>
    <col min="12548" max="12548" width="15" style="465" customWidth="1"/>
    <col min="12549" max="12549" width="17" style="465" customWidth="1"/>
    <col min="12550" max="12550" width="19" style="465" customWidth="1"/>
    <col min="12551" max="12551" width="16.5703125" style="465" bestFit="1" customWidth="1"/>
    <col min="12552" max="12552" width="16" style="465" customWidth="1"/>
    <col min="12553" max="12553" width="17.7109375" style="465" customWidth="1"/>
    <col min="12554" max="12554" width="17.140625" style="465" customWidth="1"/>
    <col min="12555" max="12555" width="18.7109375" style="465" customWidth="1"/>
    <col min="12556" max="12556" width="18.85546875" style="465" bestFit="1" customWidth="1"/>
    <col min="12557" max="12557" width="14.140625" style="465" customWidth="1"/>
    <col min="12558" max="12558" width="15.5703125" style="465" bestFit="1" customWidth="1"/>
    <col min="12559" max="12559" width="10.140625" style="465" customWidth="1"/>
    <col min="12560" max="12560" width="16.5703125" style="465" bestFit="1" customWidth="1"/>
    <col min="12561" max="12798" width="10.140625" style="465"/>
    <col min="12799" max="12799" width="10.140625" style="465" customWidth="1"/>
    <col min="12800" max="12800" width="27.5703125" style="465" customWidth="1"/>
    <col min="12801" max="12801" width="10.140625" style="465" customWidth="1"/>
    <col min="12802" max="12802" width="35.28515625" style="465" customWidth="1"/>
    <col min="12803" max="12803" width="15.42578125" style="465" customWidth="1"/>
    <col min="12804" max="12804" width="15" style="465" customWidth="1"/>
    <col min="12805" max="12805" width="17" style="465" customWidth="1"/>
    <col min="12806" max="12806" width="19" style="465" customWidth="1"/>
    <col min="12807" max="12807" width="16.5703125" style="465" bestFit="1" customWidth="1"/>
    <col min="12808" max="12808" width="16" style="465" customWidth="1"/>
    <col min="12809" max="12809" width="17.7109375" style="465" customWidth="1"/>
    <col min="12810" max="12810" width="17.140625" style="465" customWidth="1"/>
    <col min="12811" max="12811" width="18.7109375" style="465" customWidth="1"/>
    <col min="12812" max="12812" width="18.85546875" style="465" bestFit="1" customWidth="1"/>
    <col min="12813" max="12813" width="14.140625" style="465" customWidth="1"/>
    <col min="12814" max="12814" width="15.5703125" style="465" bestFit="1" customWidth="1"/>
    <col min="12815" max="12815" width="10.140625" style="465" customWidth="1"/>
    <col min="12816" max="12816" width="16.5703125" style="465" bestFit="1" customWidth="1"/>
    <col min="12817" max="13054" width="10.140625" style="465"/>
    <col min="13055" max="13055" width="10.140625" style="465" customWidth="1"/>
    <col min="13056" max="13056" width="27.5703125" style="465" customWidth="1"/>
    <col min="13057" max="13057" width="10.140625" style="465" customWidth="1"/>
    <col min="13058" max="13058" width="35.28515625" style="465" customWidth="1"/>
    <col min="13059" max="13059" width="15.42578125" style="465" customWidth="1"/>
    <col min="13060" max="13060" width="15" style="465" customWidth="1"/>
    <col min="13061" max="13061" width="17" style="465" customWidth="1"/>
    <col min="13062" max="13062" width="19" style="465" customWidth="1"/>
    <col min="13063" max="13063" width="16.5703125" style="465" bestFit="1" customWidth="1"/>
    <col min="13064" max="13064" width="16" style="465" customWidth="1"/>
    <col min="13065" max="13065" width="17.7109375" style="465" customWidth="1"/>
    <col min="13066" max="13066" width="17.140625" style="465" customWidth="1"/>
    <col min="13067" max="13067" width="18.7109375" style="465" customWidth="1"/>
    <col min="13068" max="13068" width="18.85546875" style="465" bestFit="1" customWidth="1"/>
    <col min="13069" max="13069" width="14.140625" style="465" customWidth="1"/>
    <col min="13070" max="13070" width="15.5703125" style="465" bestFit="1" customWidth="1"/>
    <col min="13071" max="13071" width="10.140625" style="465" customWidth="1"/>
    <col min="13072" max="13072" width="16.5703125" style="465" bestFit="1" customWidth="1"/>
    <col min="13073" max="13310" width="10.140625" style="465"/>
    <col min="13311" max="13311" width="10.140625" style="465" customWidth="1"/>
    <col min="13312" max="13312" width="27.5703125" style="465" customWidth="1"/>
    <col min="13313" max="13313" width="10.140625" style="465" customWidth="1"/>
    <col min="13314" max="13314" width="35.28515625" style="465" customWidth="1"/>
    <col min="13315" max="13315" width="15.42578125" style="465" customWidth="1"/>
    <col min="13316" max="13316" width="15" style="465" customWidth="1"/>
    <col min="13317" max="13317" width="17" style="465" customWidth="1"/>
    <col min="13318" max="13318" width="19" style="465" customWidth="1"/>
    <col min="13319" max="13319" width="16.5703125" style="465" bestFit="1" customWidth="1"/>
    <col min="13320" max="13320" width="16" style="465" customWidth="1"/>
    <col min="13321" max="13321" width="17.7109375" style="465" customWidth="1"/>
    <col min="13322" max="13322" width="17.140625" style="465" customWidth="1"/>
    <col min="13323" max="13323" width="18.7109375" style="465" customWidth="1"/>
    <col min="13324" max="13324" width="18.85546875" style="465" bestFit="1" customWidth="1"/>
    <col min="13325" max="13325" width="14.140625" style="465" customWidth="1"/>
    <col min="13326" max="13326" width="15.5703125" style="465" bestFit="1" customWidth="1"/>
    <col min="13327" max="13327" width="10.140625" style="465" customWidth="1"/>
    <col min="13328" max="13328" width="16.5703125" style="465" bestFit="1" customWidth="1"/>
    <col min="13329" max="13566" width="10.140625" style="465"/>
    <col min="13567" max="13567" width="10.140625" style="465" customWidth="1"/>
    <col min="13568" max="13568" width="27.5703125" style="465" customWidth="1"/>
    <col min="13569" max="13569" width="10.140625" style="465" customWidth="1"/>
    <col min="13570" max="13570" width="35.28515625" style="465" customWidth="1"/>
    <col min="13571" max="13571" width="15.42578125" style="465" customWidth="1"/>
    <col min="13572" max="13572" width="15" style="465" customWidth="1"/>
    <col min="13573" max="13573" width="17" style="465" customWidth="1"/>
    <col min="13574" max="13574" width="19" style="465" customWidth="1"/>
    <col min="13575" max="13575" width="16.5703125" style="465" bestFit="1" customWidth="1"/>
    <col min="13576" max="13576" width="16" style="465" customWidth="1"/>
    <col min="13577" max="13577" width="17.7109375" style="465" customWidth="1"/>
    <col min="13578" max="13578" width="17.140625" style="465" customWidth="1"/>
    <col min="13579" max="13579" width="18.7109375" style="465" customWidth="1"/>
    <col min="13580" max="13580" width="18.85546875" style="465" bestFit="1" customWidth="1"/>
    <col min="13581" max="13581" width="14.140625" style="465" customWidth="1"/>
    <col min="13582" max="13582" width="15.5703125" style="465" bestFit="1" customWidth="1"/>
    <col min="13583" max="13583" width="10.140625" style="465" customWidth="1"/>
    <col min="13584" max="13584" width="16.5703125" style="465" bestFit="1" customWidth="1"/>
    <col min="13585" max="13822" width="10.140625" style="465"/>
    <col min="13823" max="13823" width="10.140625" style="465" customWidth="1"/>
    <col min="13824" max="13824" width="27.5703125" style="465" customWidth="1"/>
    <col min="13825" max="13825" width="10.140625" style="465" customWidth="1"/>
    <col min="13826" max="13826" width="35.28515625" style="465" customWidth="1"/>
    <col min="13827" max="13827" width="15.42578125" style="465" customWidth="1"/>
    <col min="13828" max="13828" width="15" style="465" customWidth="1"/>
    <col min="13829" max="13829" width="17" style="465" customWidth="1"/>
    <col min="13830" max="13830" width="19" style="465" customWidth="1"/>
    <col min="13831" max="13831" width="16.5703125" style="465" bestFit="1" customWidth="1"/>
    <col min="13832" max="13832" width="16" style="465" customWidth="1"/>
    <col min="13833" max="13833" width="17.7109375" style="465" customWidth="1"/>
    <col min="13834" max="13834" width="17.140625" style="465" customWidth="1"/>
    <col min="13835" max="13835" width="18.7109375" style="465" customWidth="1"/>
    <col min="13836" max="13836" width="18.85546875" style="465" bestFit="1" customWidth="1"/>
    <col min="13837" max="13837" width="14.140625" style="465" customWidth="1"/>
    <col min="13838" max="13838" width="15.5703125" style="465" bestFit="1" customWidth="1"/>
    <col min="13839" max="13839" width="10.140625" style="465" customWidth="1"/>
    <col min="13840" max="13840" width="16.5703125" style="465" bestFit="1" customWidth="1"/>
    <col min="13841" max="14078" width="10.140625" style="465"/>
    <col min="14079" max="14079" width="10.140625" style="465" customWidth="1"/>
    <col min="14080" max="14080" width="27.5703125" style="465" customWidth="1"/>
    <col min="14081" max="14081" width="10.140625" style="465" customWidth="1"/>
    <col min="14082" max="14082" width="35.28515625" style="465" customWidth="1"/>
    <col min="14083" max="14083" width="15.42578125" style="465" customWidth="1"/>
    <col min="14084" max="14084" width="15" style="465" customWidth="1"/>
    <col min="14085" max="14085" width="17" style="465" customWidth="1"/>
    <col min="14086" max="14086" width="19" style="465" customWidth="1"/>
    <col min="14087" max="14087" width="16.5703125" style="465" bestFit="1" customWidth="1"/>
    <col min="14088" max="14088" width="16" style="465" customWidth="1"/>
    <col min="14089" max="14089" width="17.7109375" style="465" customWidth="1"/>
    <col min="14090" max="14090" width="17.140625" style="465" customWidth="1"/>
    <col min="14091" max="14091" width="18.7109375" style="465" customWidth="1"/>
    <col min="14092" max="14092" width="18.85546875" style="465" bestFit="1" customWidth="1"/>
    <col min="14093" max="14093" width="14.140625" style="465" customWidth="1"/>
    <col min="14094" max="14094" width="15.5703125" style="465" bestFit="1" customWidth="1"/>
    <col min="14095" max="14095" width="10.140625" style="465" customWidth="1"/>
    <col min="14096" max="14096" width="16.5703125" style="465" bestFit="1" customWidth="1"/>
    <col min="14097" max="14334" width="10.140625" style="465"/>
    <col min="14335" max="14335" width="10.140625" style="465" customWidth="1"/>
    <col min="14336" max="14336" width="27.5703125" style="465" customWidth="1"/>
    <col min="14337" max="14337" width="10.140625" style="465" customWidth="1"/>
    <col min="14338" max="14338" width="35.28515625" style="465" customWidth="1"/>
    <col min="14339" max="14339" width="15.42578125" style="465" customWidth="1"/>
    <col min="14340" max="14340" width="15" style="465" customWidth="1"/>
    <col min="14341" max="14341" width="17" style="465" customWidth="1"/>
    <col min="14342" max="14342" width="19" style="465" customWidth="1"/>
    <col min="14343" max="14343" width="16.5703125" style="465" bestFit="1" customWidth="1"/>
    <col min="14344" max="14344" width="16" style="465" customWidth="1"/>
    <col min="14345" max="14345" width="17.7109375" style="465" customWidth="1"/>
    <col min="14346" max="14346" width="17.140625" style="465" customWidth="1"/>
    <col min="14347" max="14347" width="18.7109375" style="465" customWidth="1"/>
    <col min="14348" max="14348" width="18.85546875" style="465" bestFit="1" customWidth="1"/>
    <col min="14349" max="14349" width="14.140625" style="465" customWidth="1"/>
    <col min="14350" max="14350" width="15.5703125" style="465" bestFit="1" customWidth="1"/>
    <col min="14351" max="14351" width="10.140625" style="465" customWidth="1"/>
    <col min="14352" max="14352" width="16.5703125" style="465" bestFit="1" customWidth="1"/>
    <col min="14353" max="14590" width="10.140625" style="465"/>
    <col min="14591" max="14591" width="10.140625" style="465" customWidth="1"/>
    <col min="14592" max="14592" width="27.5703125" style="465" customWidth="1"/>
    <col min="14593" max="14593" width="10.140625" style="465" customWidth="1"/>
    <col min="14594" max="14594" width="35.28515625" style="465" customWidth="1"/>
    <col min="14595" max="14595" width="15.42578125" style="465" customWidth="1"/>
    <col min="14596" max="14596" width="15" style="465" customWidth="1"/>
    <col min="14597" max="14597" width="17" style="465" customWidth="1"/>
    <col min="14598" max="14598" width="19" style="465" customWidth="1"/>
    <col min="14599" max="14599" width="16.5703125" style="465" bestFit="1" customWidth="1"/>
    <col min="14600" max="14600" width="16" style="465" customWidth="1"/>
    <col min="14601" max="14601" width="17.7109375" style="465" customWidth="1"/>
    <col min="14602" max="14602" width="17.140625" style="465" customWidth="1"/>
    <col min="14603" max="14603" width="18.7109375" style="465" customWidth="1"/>
    <col min="14604" max="14604" width="18.85546875" style="465" bestFit="1" customWidth="1"/>
    <col min="14605" max="14605" width="14.140625" style="465" customWidth="1"/>
    <col min="14606" max="14606" width="15.5703125" style="465" bestFit="1" customWidth="1"/>
    <col min="14607" max="14607" width="10.140625" style="465" customWidth="1"/>
    <col min="14608" max="14608" width="16.5703125" style="465" bestFit="1" customWidth="1"/>
    <col min="14609" max="14846" width="10.140625" style="465"/>
    <col min="14847" max="14847" width="10.140625" style="465" customWidth="1"/>
    <col min="14848" max="14848" width="27.5703125" style="465" customWidth="1"/>
    <col min="14849" max="14849" width="10.140625" style="465" customWidth="1"/>
    <col min="14850" max="14850" width="35.28515625" style="465" customWidth="1"/>
    <col min="14851" max="14851" width="15.42578125" style="465" customWidth="1"/>
    <col min="14852" max="14852" width="15" style="465" customWidth="1"/>
    <col min="14853" max="14853" width="17" style="465" customWidth="1"/>
    <col min="14854" max="14854" width="19" style="465" customWidth="1"/>
    <col min="14855" max="14855" width="16.5703125" style="465" bestFit="1" customWidth="1"/>
    <col min="14856" max="14856" width="16" style="465" customWidth="1"/>
    <col min="14857" max="14857" width="17.7109375" style="465" customWidth="1"/>
    <col min="14858" max="14858" width="17.140625" style="465" customWidth="1"/>
    <col min="14859" max="14859" width="18.7109375" style="465" customWidth="1"/>
    <col min="14860" max="14860" width="18.85546875" style="465" bestFit="1" customWidth="1"/>
    <col min="14861" max="14861" width="14.140625" style="465" customWidth="1"/>
    <col min="14862" max="14862" width="15.5703125" style="465" bestFit="1" customWidth="1"/>
    <col min="14863" max="14863" width="10.140625" style="465" customWidth="1"/>
    <col min="14864" max="14864" width="16.5703125" style="465" bestFit="1" customWidth="1"/>
    <col min="14865" max="15102" width="10.140625" style="465"/>
    <col min="15103" max="15103" width="10.140625" style="465" customWidth="1"/>
    <col min="15104" max="15104" width="27.5703125" style="465" customWidth="1"/>
    <col min="15105" max="15105" width="10.140625" style="465" customWidth="1"/>
    <col min="15106" max="15106" width="35.28515625" style="465" customWidth="1"/>
    <col min="15107" max="15107" width="15.42578125" style="465" customWidth="1"/>
    <col min="15108" max="15108" width="15" style="465" customWidth="1"/>
    <col min="15109" max="15109" width="17" style="465" customWidth="1"/>
    <col min="15110" max="15110" width="19" style="465" customWidth="1"/>
    <col min="15111" max="15111" width="16.5703125" style="465" bestFit="1" customWidth="1"/>
    <col min="15112" max="15112" width="16" style="465" customWidth="1"/>
    <col min="15113" max="15113" width="17.7109375" style="465" customWidth="1"/>
    <col min="15114" max="15114" width="17.140625" style="465" customWidth="1"/>
    <col min="15115" max="15115" width="18.7109375" style="465" customWidth="1"/>
    <col min="15116" max="15116" width="18.85546875" style="465" bestFit="1" customWidth="1"/>
    <col min="15117" max="15117" width="14.140625" style="465" customWidth="1"/>
    <col min="15118" max="15118" width="15.5703125" style="465" bestFit="1" customWidth="1"/>
    <col min="15119" max="15119" width="10.140625" style="465" customWidth="1"/>
    <col min="15120" max="15120" width="16.5703125" style="465" bestFit="1" customWidth="1"/>
    <col min="15121" max="15358" width="10.140625" style="465"/>
    <col min="15359" max="15359" width="10.140625" style="465" customWidth="1"/>
    <col min="15360" max="15360" width="27.5703125" style="465" customWidth="1"/>
    <col min="15361" max="15361" width="10.140625" style="465" customWidth="1"/>
    <col min="15362" max="15362" width="35.28515625" style="465" customWidth="1"/>
    <col min="15363" max="15363" width="15.42578125" style="465" customWidth="1"/>
    <col min="15364" max="15364" width="15" style="465" customWidth="1"/>
    <col min="15365" max="15365" width="17" style="465" customWidth="1"/>
    <col min="15366" max="15366" width="19" style="465" customWidth="1"/>
    <col min="15367" max="15367" width="16.5703125" style="465" bestFit="1" customWidth="1"/>
    <col min="15368" max="15368" width="16" style="465" customWidth="1"/>
    <col min="15369" max="15369" width="17.7109375" style="465" customWidth="1"/>
    <col min="15370" max="15370" width="17.140625" style="465" customWidth="1"/>
    <col min="15371" max="15371" width="18.7109375" style="465" customWidth="1"/>
    <col min="15372" max="15372" width="18.85546875" style="465" bestFit="1" customWidth="1"/>
    <col min="15373" max="15373" width="14.140625" style="465" customWidth="1"/>
    <col min="15374" max="15374" width="15.5703125" style="465" bestFit="1" customWidth="1"/>
    <col min="15375" max="15375" width="10.140625" style="465" customWidth="1"/>
    <col min="15376" max="15376" width="16.5703125" style="465" bestFit="1" customWidth="1"/>
    <col min="15377" max="15614" width="10.140625" style="465"/>
    <col min="15615" max="15615" width="10.140625" style="465" customWidth="1"/>
    <col min="15616" max="15616" width="27.5703125" style="465" customWidth="1"/>
    <col min="15617" max="15617" width="10.140625" style="465" customWidth="1"/>
    <col min="15618" max="15618" width="35.28515625" style="465" customWidth="1"/>
    <col min="15619" max="15619" width="15.42578125" style="465" customWidth="1"/>
    <col min="15620" max="15620" width="15" style="465" customWidth="1"/>
    <col min="15621" max="15621" width="17" style="465" customWidth="1"/>
    <col min="15622" max="15622" width="19" style="465" customWidth="1"/>
    <col min="15623" max="15623" width="16.5703125" style="465" bestFit="1" customWidth="1"/>
    <col min="15624" max="15624" width="16" style="465" customWidth="1"/>
    <col min="15625" max="15625" width="17.7109375" style="465" customWidth="1"/>
    <col min="15626" max="15626" width="17.140625" style="465" customWidth="1"/>
    <col min="15627" max="15627" width="18.7109375" style="465" customWidth="1"/>
    <col min="15628" max="15628" width="18.85546875" style="465" bestFit="1" customWidth="1"/>
    <col min="15629" max="15629" width="14.140625" style="465" customWidth="1"/>
    <col min="15630" max="15630" width="15.5703125" style="465" bestFit="1" customWidth="1"/>
    <col min="15631" max="15631" width="10.140625" style="465" customWidth="1"/>
    <col min="15632" max="15632" width="16.5703125" style="465" bestFit="1" customWidth="1"/>
    <col min="15633" max="15870" width="10.140625" style="465"/>
    <col min="15871" max="15871" width="10.140625" style="465" customWidth="1"/>
    <col min="15872" max="15872" width="27.5703125" style="465" customWidth="1"/>
    <col min="15873" max="15873" width="10.140625" style="465" customWidth="1"/>
    <col min="15874" max="15874" width="35.28515625" style="465" customWidth="1"/>
    <col min="15875" max="15875" width="15.42578125" style="465" customWidth="1"/>
    <col min="15876" max="15876" width="15" style="465" customWidth="1"/>
    <col min="15877" max="15877" width="17" style="465" customWidth="1"/>
    <col min="15878" max="15878" width="19" style="465" customWidth="1"/>
    <col min="15879" max="15879" width="16.5703125" style="465" bestFit="1" customWidth="1"/>
    <col min="15880" max="15880" width="16" style="465" customWidth="1"/>
    <col min="15881" max="15881" width="17.7109375" style="465" customWidth="1"/>
    <col min="15882" max="15882" width="17.140625" style="465" customWidth="1"/>
    <col min="15883" max="15883" width="18.7109375" style="465" customWidth="1"/>
    <col min="15884" max="15884" width="18.85546875" style="465" bestFit="1" customWidth="1"/>
    <col min="15885" max="15885" width="14.140625" style="465" customWidth="1"/>
    <col min="15886" max="15886" width="15.5703125" style="465" bestFit="1" customWidth="1"/>
    <col min="15887" max="15887" width="10.140625" style="465" customWidth="1"/>
    <col min="15888" max="15888" width="16.5703125" style="465" bestFit="1" customWidth="1"/>
    <col min="15889" max="16126" width="10.140625" style="465"/>
    <col min="16127" max="16127" width="10.140625" style="465" customWidth="1"/>
    <col min="16128" max="16128" width="27.5703125" style="465" customWidth="1"/>
    <col min="16129" max="16129" width="10.140625" style="465" customWidth="1"/>
    <col min="16130" max="16130" width="35.28515625" style="465" customWidth="1"/>
    <col min="16131" max="16131" width="15.42578125" style="465" customWidth="1"/>
    <col min="16132" max="16132" width="15" style="465" customWidth="1"/>
    <col min="16133" max="16133" width="17" style="465" customWidth="1"/>
    <col min="16134" max="16134" width="19" style="465" customWidth="1"/>
    <col min="16135" max="16135" width="16.5703125" style="465" bestFit="1" customWidth="1"/>
    <col min="16136" max="16136" width="16" style="465" customWidth="1"/>
    <col min="16137" max="16137" width="17.7109375" style="465" customWidth="1"/>
    <col min="16138" max="16138" width="17.140625" style="465" customWidth="1"/>
    <col min="16139" max="16139" width="18.7109375" style="465" customWidth="1"/>
    <col min="16140" max="16140" width="18.85546875" style="465" bestFit="1" customWidth="1"/>
    <col min="16141" max="16141" width="14.140625" style="465" customWidth="1"/>
    <col min="16142" max="16142" width="15.5703125" style="465" bestFit="1" customWidth="1"/>
    <col min="16143" max="16143" width="10.140625" style="465" customWidth="1"/>
    <col min="16144" max="16144" width="16.5703125" style="465" bestFit="1" customWidth="1"/>
    <col min="16145" max="16384" width="10.140625" style="465"/>
  </cols>
  <sheetData>
    <row r="1" spans="1:7" ht="30" customHeight="1" x14ac:dyDescent="0.25">
      <c r="A1" s="1135" t="s">
        <v>463</v>
      </c>
      <c r="B1" s="1135"/>
      <c r="C1" s="1135"/>
      <c r="D1" s="1135"/>
      <c r="E1" s="1135"/>
      <c r="F1" s="1135"/>
      <c r="G1" s="1135"/>
    </row>
    <row r="2" spans="1:7" ht="42" customHeight="1" x14ac:dyDescent="0.25">
      <c r="A2" s="1136" t="s">
        <v>472</v>
      </c>
      <c r="B2" s="1136"/>
      <c r="C2" s="1136"/>
      <c r="D2" s="1136"/>
      <c r="E2" s="1136"/>
      <c r="F2" s="1136"/>
      <c r="G2" s="1136"/>
    </row>
    <row r="3" spans="1:7" s="356" customFormat="1" ht="15.75" x14ac:dyDescent="0.25">
      <c r="A3" s="597" t="s">
        <v>0</v>
      </c>
      <c r="B3" s="597" t="s">
        <v>1</v>
      </c>
      <c r="C3" s="597" t="s">
        <v>33</v>
      </c>
      <c r="D3" s="598" t="s">
        <v>32</v>
      </c>
      <c r="E3" s="599" t="s">
        <v>261</v>
      </c>
      <c r="F3" s="599" t="s">
        <v>258</v>
      </c>
      <c r="G3" s="599" t="s">
        <v>21</v>
      </c>
    </row>
    <row r="4" spans="1:7" ht="15.75" x14ac:dyDescent="0.25">
      <c r="A4" s="26">
        <v>1</v>
      </c>
      <c r="B4" s="601" t="s">
        <v>550</v>
      </c>
      <c r="C4" s="604"/>
      <c r="D4" s="604"/>
      <c r="E4" s="604"/>
      <c r="F4" s="605">
        <f>F5+F12+F17+F24</f>
        <v>31450000</v>
      </c>
      <c r="G4" s="604"/>
    </row>
    <row r="5" spans="1:7" ht="31.5" x14ac:dyDescent="0.25">
      <c r="A5" s="15">
        <v>1.1000000000000001</v>
      </c>
      <c r="B5" s="601" t="s">
        <v>551</v>
      </c>
      <c r="C5" s="837"/>
      <c r="D5" s="836"/>
      <c r="E5" s="837"/>
      <c r="F5" s="605">
        <f>SUM(F6:F11)</f>
        <v>10400000</v>
      </c>
      <c r="G5" s="837"/>
    </row>
    <row r="6" spans="1:7" ht="15.75" x14ac:dyDescent="0.25">
      <c r="A6" s="306"/>
      <c r="B6" s="519" t="s">
        <v>553</v>
      </c>
      <c r="C6" s="306" t="s">
        <v>37</v>
      </c>
      <c r="D6" s="609">
        <v>1</v>
      </c>
      <c r="E6" s="610">
        <v>900000</v>
      </c>
      <c r="F6" s="611">
        <f>E6*D6</f>
        <v>900000</v>
      </c>
      <c r="G6" s="837"/>
    </row>
    <row r="7" spans="1:7" ht="15.75" x14ac:dyDescent="0.25">
      <c r="A7" s="518"/>
      <c r="B7" s="519" t="s">
        <v>552</v>
      </c>
      <c r="C7" s="306" t="s">
        <v>37</v>
      </c>
      <c r="D7" s="609">
        <v>8</v>
      </c>
      <c r="E7" s="610">
        <v>600000</v>
      </c>
      <c r="F7" s="611">
        <f>E7*D7</f>
        <v>4800000</v>
      </c>
      <c r="G7" s="837"/>
    </row>
    <row r="8" spans="1:7" ht="15.75" x14ac:dyDescent="0.25">
      <c r="A8" s="306"/>
      <c r="B8" s="519" t="s">
        <v>526</v>
      </c>
      <c r="C8" s="306" t="s">
        <v>37</v>
      </c>
      <c r="D8" s="609">
        <v>1</v>
      </c>
      <c r="E8" s="610">
        <v>200000</v>
      </c>
      <c r="F8" s="611">
        <f t="shared" ref="F8:F11" si="0">E8*D8</f>
        <v>200000</v>
      </c>
      <c r="G8" s="837"/>
    </row>
    <row r="9" spans="1:7" ht="15.75" x14ac:dyDescent="0.25">
      <c r="A9" s="518"/>
      <c r="B9" s="519" t="s">
        <v>527</v>
      </c>
      <c r="C9" s="518" t="s">
        <v>37</v>
      </c>
      <c r="D9" s="509">
        <v>10</v>
      </c>
      <c r="E9" s="612">
        <v>150000</v>
      </c>
      <c r="F9" s="613">
        <f t="shared" si="0"/>
        <v>1500000</v>
      </c>
      <c r="G9" s="837"/>
    </row>
    <row r="10" spans="1:7" ht="15.75" x14ac:dyDescent="0.25">
      <c r="A10" s="518"/>
      <c r="B10" s="519" t="s">
        <v>554</v>
      </c>
      <c r="C10" s="780" t="s">
        <v>34</v>
      </c>
      <c r="D10" s="614">
        <v>7</v>
      </c>
      <c r="E10" s="610">
        <v>300000</v>
      </c>
      <c r="F10" s="611">
        <f t="shared" si="0"/>
        <v>2100000</v>
      </c>
      <c r="G10" s="837"/>
    </row>
    <row r="11" spans="1:7" ht="15.75" x14ac:dyDescent="0.25">
      <c r="A11" s="306"/>
      <c r="B11" s="519" t="s">
        <v>555</v>
      </c>
      <c r="C11" s="306" t="s">
        <v>34</v>
      </c>
      <c r="D11" s="609">
        <v>2</v>
      </c>
      <c r="E11" s="610">
        <v>450000</v>
      </c>
      <c r="F11" s="611">
        <f t="shared" si="0"/>
        <v>900000</v>
      </c>
      <c r="G11" s="837"/>
    </row>
    <row r="12" spans="1:7" ht="15.75" x14ac:dyDescent="0.25">
      <c r="A12" s="15">
        <v>1.2</v>
      </c>
      <c r="B12" s="603" t="s">
        <v>523</v>
      </c>
      <c r="C12" s="604"/>
      <c r="D12" s="788"/>
      <c r="E12" s="604"/>
      <c r="F12" s="605">
        <f>SUM(F13:F16)</f>
        <v>2450000</v>
      </c>
      <c r="G12" s="604"/>
    </row>
    <row r="13" spans="1:7" ht="15.75" x14ac:dyDescent="0.25">
      <c r="A13" s="15"/>
      <c r="B13" s="519" t="s">
        <v>524</v>
      </c>
      <c r="C13" s="306" t="s">
        <v>37</v>
      </c>
      <c r="D13" s="789">
        <v>1</v>
      </c>
      <c r="E13" s="727">
        <v>450000</v>
      </c>
      <c r="F13" s="600">
        <f>D13*E13</f>
        <v>450000</v>
      </c>
      <c r="G13" s="604"/>
    </row>
    <row r="14" spans="1:7" ht="15.75" x14ac:dyDescent="0.25">
      <c r="A14" s="15"/>
      <c r="B14" s="519" t="s">
        <v>525</v>
      </c>
      <c r="C14" s="306" t="s">
        <v>37</v>
      </c>
      <c r="D14" s="789">
        <v>3</v>
      </c>
      <c r="E14" s="727">
        <v>350000</v>
      </c>
      <c r="F14" s="600">
        <f>D14*E14</f>
        <v>1050000</v>
      </c>
      <c r="G14" s="604"/>
    </row>
    <row r="15" spans="1:7" ht="15.75" x14ac:dyDescent="0.25">
      <c r="A15" s="15"/>
      <c r="B15" s="519" t="s">
        <v>526</v>
      </c>
      <c r="C15" s="518" t="s">
        <v>37</v>
      </c>
      <c r="D15" s="789">
        <v>1</v>
      </c>
      <c r="E15" s="727">
        <v>200000</v>
      </c>
      <c r="F15" s="600">
        <f t="shared" ref="F15:F16" si="1">D15*E15</f>
        <v>200000</v>
      </c>
      <c r="G15" s="604"/>
    </row>
    <row r="16" spans="1:7" ht="15.75" x14ac:dyDescent="0.25">
      <c r="A16" s="15"/>
      <c r="B16" s="519" t="s">
        <v>527</v>
      </c>
      <c r="C16" s="780" t="s">
        <v>37</v>
      </c>
      <c r="D16" s="789">
        <v>5</v>
      </c>
      <c r="E16" s="727">
        <v>150000</v>
      </c>
      <c r="F16" s="790">
        <f t="shared" si="1"/>
        <v>750000</v>
      </c>
      <c r="G16" s="604"/>
    </row>
    <row r="17" spans="1:7" ht="15.75" x14ac:dyDescent="0.25">
      <c r="A17" s="606">
        <v>1.3</v>
      </c>
      <c r="B17" s="603" t="s">
        <v>42</v>
      </c>
      <c r="C17" s="606"/>
      <c r="D17" s="607"/>
      <c r="E17" s="608"/>
      <c r="F17" s="605">
        <f>SUM(F18:F23)</f>
        <v>7450000</v>
      </c>
      <c r="G17" s="604"/>
    </row>
    <row r="18" spans="1:7" ht="15.75" x14ac:dyDescent="0.25">
      <c r="A18" s="518"/>
      <c r="B18" s="519" t="s">
        <v>553</v>
      </c>
      <c r="C18" s="306" t="s">
        <v>37</v>
      </c>
      <c r="D18" s="609">
        <v>1</v>
      </c>
      <c r="E18" s="610">
        <v>600000</v>
      </c>
      <c r="F18" s="611">
        <f t="shared" ref="F18:F23" si="2">E18*D18</f>
        <v>600000</v>
      </c>
      <c r="G18" s="604"/>
    </row>
    <row r="19" spans="1:7" ht="15.75" x14ac:dyDescent="0.25">
      <c r="A19" s="306"/>
      <c r="B19" s="519" t="s">
        <v>552</v>
      </c>
      <c r="C19" s="306" t="s">
        <v>37</v>
      </c>
      <c r="D19" s="609">
        <v>8</v>
      </c>
      <c r="E19" s="610">
        <v>400000</v>
      </c>
      <c r="F19" s="611">
        <f t="shared" si="2"/>
        <v>3200000</v>
      </c>
      <c r="G19" s="604"/>
    </row>
    <row r="20" spans="1:7" ht="15.75" x14ac:dyDescent="0.25">
      <c r="A20" s="518"/>
      <c r="B20" s="519" t="s">
        <v>526</v>
      </c>
      <c r="C20" s="518" t="s">
        <v>37</v>
      </c>
      <c r="D20" s="509">
        <v>1</v>
      </c>
      <c r="E20" s="612">
        <v>150000</v>
      </c>
      <c r="F20" s="613">
        <f t="shared" si="2"/>
        <v>150000</v>
      </c>
      <c r="G20" s="604"/>
    </row>
    <row r="21" spans="1:7" ht="15.75" x14ac:dyDescent="0.25">
      <c r="A21" s="518"/>
      <c r="B21" s="519" t="s">
        <v>527</v>
      </c>
      <c r="C21" s="462" t="s">
        <v>37</v>
      </c>
      <c r="D21" s="614">
        <v>15</v>
      </c>
      <c r="E21" s="610">
        <v>100000</v>
      </c>
      <c r="F21" s="611">
        <f t="shared" si="2"/>
        <v>1500000</v>
      </c>
      <c r="G21" s="604"/>
    </row>
    <row r="22" spans="1:7" ht="15.75" x14ac:dyDescent="0.25">
      <c r="A22" s="306"/>
      <c r="B22" s="519" t="s">
        <v>554</v>
      </c>
      <c r="C22" s="306" t="s">
        <v>34</v>
      </c>
      <c r="D22" s="609">
        <v>7</v>
      </c>
      <c r="E22" s="610">
        <v>200000</v>
      </c>
      <c r="F22" s="611">
        <f t="shared" si="2"/>
        <v>1400000</v>
      </c>
      <c r="G22" s="604"/>
    </row>
    <row r="23" spans="1:7" ht="15.75" x14ac:dyDescent="0.25">
      <c r="A23" s="518"/>
      <c r="B23" s="519" t="s">
        <v>555</v>
      </c>
      <c r="C23" s="306" t="s">
        <v>34</v>
      </c>
      <c r="D23" s="609">
        <v>2</v>
      </c>
      <c r="E23" s="610">
        <v>300000</v>
      </c>
      <c r="F23" s="611">
        <f t="shared" si="2"/>
        <v>600000</v>
      </c>
      <c r="G23" s="604"/>
    </row>
    <row r="24" spans="1:7" ht="15.75" x14ac:dyDescent="0.25">
      <c r="A24" s="606">
        <v>1.4</v>
      </c>
      <c r="B24" s="603" t="s">
        <v>707</v>
      </c>
      <c r="C24" s="606"/>
      <c r="D24" s="615"/>
      <c r="E24" s="616"/>
      <c r="F24" s="617">
        <f>SUM(F25:F30)</f>
        <v>11150000</v>
      </c>
      <c r="G24" s="604"/>
    </row>
    <row r="25" spans="1:7" ht="15.75" x14ac:dyDescent="0.25">
      <c r="A25" s="306"/>
      <c r="B25" s="519" t="s">
        <v>553</v>
      </c>
      <c r="C25" s="306" t="s">
        <v>37</v>
      </c>
      <c r="D25" s="609">
        <v>1</v>
      </c>
      <c r="E25" s="610">
        <v>900000</v>
      </c>
      <c r="F25" s="611">
        <f t="shared" ref="F25:F30" si="3">E25*D25</f>
        <v>900000</v>
      </c>
      <c r="G25" s="604"/>
    </row>
    <row r="26" spans="1:7" ht="15.75" x14ac:dyDescent="0.25">
      <c r="A26" s="518"/>
      <c r="B26" s="519" t="s">
        <v>552</v>
      </c>
      <c r="C26" s="306" t="s">
        <v>37</v>
      </c>
      <c r="D26" s="609">
        <v>8</v>
      </c>
      <c r="E26" s="610">
        <v>600000</v>
      </c>
      <c r="F26" s="611">
        <f t="shared" si="3"/>
        <v>4800000</v>
      </c>
      <c r="G26" s="604"/>
    </row>
    <row r="27" spans="1:7" ht="15.75" x14ac:dyDescent="0.25">
      <c r="A27" s="306"/>
      <c r="B27" s="519" t="s">
        <v>556</v>
      </c>
      <c r="C27" s="306" t="s">
        <v>37</v>
      </c>
      <c r="D27" s="609">
        <v>1</v>
      </c>
      <c r="E27" s="610">
        <v>200000</v>
      </c>
      <c r="F27" s="611">
        <f t="shared" si="3"/>
        <v>200000</v>
      </c>
      <c r="G27" s="604"/>
    </row>
    <row r="28" spans="1:7" ht="15.75" x14ac:dyDescent="0.25">
      <c r="A28" s="518"/>
      <c r="B28" s="519" t="s">
        <v>527</v>
      </c>
      <c r="C28" s="518" t="s">
        <v>37</v>
      </c>
      <c r="D28" s="509">
        <v>15</v>
      </c>
      <c r="E28" s="612">
        <v>150000</v>
      </c>
      <c r="F28" s="613">
        <f t="shared" si="3"/>
        <v>2250000</v>
      </c>
      <c r="G28" s="604"/>
    </row>
    <row r="29" spans="1:7" ht="15.75" x14ac:dyDescent="0.25">
      <c r="A29" s="518"/>
      <c r="B29" s="519" t="s">
        <v>554</v>
      </c>
      <c r="C29" s="462" t="s">
        <v>34</v>
      </c>
      <c r="D29" s="614">
        <v>7</v>
      </c>
      <c r="E29" s="610">
        <v>300000</v>
      </c>
      <c r="F29" s="611">
        <f t="shared" si="3"/>
        <v>2100000</v>
      </c>
      <c r="G29" s="604"/>
    </row>
    <row r="30" spans="1:7" ht="15.75" x14ac:dyDescent="0.25">
      <c r="A30" s="306"/>
      <c r="B30" s="519" t="s">
        <v>555</v>
      </c>
      <c r="C30" s="306" t="s">
        <v>34</v>
      </c>
      <c r="D30" s="609">
        <v>2</v>
      </c>
      <c r="E30" s="610">
        <v>450000</v>
      </c>
      <c r="F30" s="611">
        <f t="shared" si="3"/>
        <v>900000</v>
      </c>
      <c r="G30" s="604"/>
    </row>
  </sheetData>
  <mergeCells count="2">
    <mergeCell ref="A1:G1"/>
    <mergeCell ref="A2:G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3"/>
  <sheetViews>
    <sheetView workbookViewId="0">
      <selection activeCell="B28" sqref="B28"/>
    </sheetView>
  </sheetViews>
  <sheetFormatPr defaultRowHeight="15.75" x14ac:dyDescent="0.25"/>
  <cols>
    <col min="1" max="1" width="6.28515625" style="302" customWidth="1"/>
    <col min="2" max="2" width="43" style="88" customWidth="1"/>
    <col min="3" max="3" width="37.140625" style="88" customWidth="1"/>
    <col min="4" max="4" width="21" style="88" customWidth="1"/>
    <col min="5" max="5" width="18.42578125" style="88" customWidth="1"/>
    <col min="6" max="7" width="15.42578125" style="331" bestFit="1" customWidth="1"/>
    <col min="8" max="244" width="9" style="88"/>
    <col min="245" max="245" width="6.28515625" style="88" customWidth="1"/>
    <col min="246" max="246" width="37.28515625" style="88" customWidth="1"/>
    <col min="247" max="248" width="21.7109375" style="88" customWidth="1"/>
    <col min="249" max="249" width="11.28515625" style="88" customWidth="1"/>
    <col min="250" max="250" width="9.7109375" style="88" customWidth="1"/>
    <col min="251" max="252" width="11.42578125" style="88" customWidth="1"/>
    <col min="253" max="253" width="18.28515625" style="88" customWidth="1"/>
    <col min="254" max="254" width="17.7109375" style="88" customWidth="1"/>
    <col min="255" max="255" width="17.28515625" style="88" customWidth="1"/>
    <col min="256" max="256" width="17.42578125" style="88" customWidth="1"/>
    <col min="257" max="257" width="12.42578125" style="88" customWidth="1"/>
    <col min="258" max="258" width="19.7109375" style="88" customWidth="1"/>
    <col min="259" max="259" width="16.28515625" style="88" customWidth="1"/>
    <col min="260" max="500" width="9" style="88"/>
    <col min="501" max="501" width="6.28515625" style="88" customWidth="1"/>
    <col min="502" max="502" width="37.28515625" style="88" customWidth="1"/>
    <col min="503" max="504" width="21.7109375" style="88" customWidth="1"/>
    <col min="505" max="505" width="11.28515625" style="88" customWidth="1"/>
    <col min="506" max="506" width="9.7109375" style="88" customWidth="1"/>
    <col min="507" max="508" width="11.42578125" style="88" customWidth="1"/>
    <col min="509" max="509" width="18.28515625" style="88" customWidth="1"/>
    <col min="510" max="510" width="17.7109375" style="88" customWidth="1"/>
    <col min="511" max="511" width="17.28515625" style="88" customWidth="1"/>
    <col min="512" max="512" width="17.42578125" style="88" customWidth="1"/>
    <col min="513" max="513" width="12.42578125" style="88" customWidth="1"/>
    <col min="514" max="514" width="19.7109375" style="88" customWidth="1"/>
    <col min="515" max="515" width="16.28515625" style="88" customWidth="1"/>
    <col min="516" max="756" width="9" style="88"/>
    <col min="757" max="757" width="6.28515625" style="88" customWidth="1"/>
    <col min="758" max="758" width="37.28515625" style="88" customWidth="1"/>
    <col min="759" max="760" width="21.7109375" style="88" customWidth="1"/>
    <col min="761" max="761" width="11.28515625" style="88" customWidth="1"/>
    <col min="762" max="762" width="9.7109375" style="88" customWidth="1"/>
    <col min="763" max="764" width="11.42578125" style="88" customWidth="1"/>
    <col min="765" max="765" width="18.28515625" style="88" customWidth="1"/>
    <col min="766" max="766" width="17.7109375" style="88" customWidth="1"/>
    <col min="767" max="767" width="17.28515625" style="88" customWidth="1"/>
    <col min="768" max="768" width="17.42578125" style="88" customWidth="1"/>
    <col min="769" max="769" width="12.42578125" style="88" customWidth="1"/>
    <col min="770" max="770" width="19.7109375" style="88" customWidth="1"/>
    <col min="771" max="771" width="16.28515625" style="88" customWidth="1"/>
    <col min="772" max="1012" width="9" style="88"/>
    <col min="1013" max="1013" width="6.28515625" style="88" customWidth="1"/>
    <col min="1014" max="1014" width="37.28515625" style="88" customWidth="1"/>
    <col min="1015" max="1016" width="21.7109375" style="88" customWidth="1"/>
    <col min="1017" max="1017" width="11.28515625" style="88" customWidth="1"/>
    <col min="1018" max="1018" width="9.7109375" style="88" customWidth="1"/>
    <col min="1019" max="1020" width="11.42578125" style="88" customWidth="1"/>
    <col min="1021" max="1021" width="18.28515625" style="88" customWidth="1"/>
    <col min="1022" max="1022" width="17.7109375" style="88" customWidth="1"/>
    <col min="1023" max="1023" width="17.28515625" style="88" customWidth="1"/>
    <col min="1024" max="1024" width="17.42578125" style="88" customWidth="1"/>
    <col min="1025" max="1025" width="12.42578125" style="88" customWidth="1"/>
    <col min="1026" max="1026" width="19.7109375" style="88" customWidth="1"/>
    <col min="1027" max="1027" width="16.28515625" style="88" customWidth="1"/>
    <col min="1028" max="1268" width="9" style="88"/>
    <col min="1269" max="1269" width="6.28515625" style="88" customWidth="1"/>
    <col min="1270" max="1270" width="37.28515625" style="88" customWidth="1"/>
    <col min="1271" max="1272" width="21.7109375" style="88" customWidth="1"/>
    <col min="1273" max="1273" width="11.28515625" style="88" customWidth="1"/>
    <col min="1274" max="1274" width="9.7109375" style="88" customWidth="1"/>
    <col min="1275" max="1276" width="11.42578125" style="88" customWidth="1"/>
    <col min="1277" max="1277" width="18.28515625" style="88" customWidth="1"/>
    <col min="1278" max="1278" width="17.7109375" style="88" customWidth="1"/>
    <col min="1279" max="1279" width="17.28515625" style="88" customWidth="1"/>
    <col min="1280" max="1280" width="17.42578125" style="88" customWidth="1"/>
    <col min="1281" max="1281" width="12.42578125" style="88" customWidth="1"/>
    <col min="1282" max="1282" width="19.7109375" style="88" customWidth="1"/>
    <col min="1283" max="1283" width="16.28515625" style="88" customWidth="1"/>
    <col min="1284" max="1524" width="9" style="88"/>
    <col min="1525" max="1525" width="6.28515625" style="88" customWidth="1"/>
    <col min="1526" max="1526" width="37.28515625" style="88" customWidth="1"/>
    <col min="1527" max="1528" width="21.7109375" style="88" customWidth="1"/>
    <col min="1529" max="1529" width="11.28515625" style="88" customWidth="1"/>
    <col min="1530" max="1530" width="9.7109375" style="88" customWidth="1"/>
    <col min="1531" max="1532" width="11.42578125" style="88" customWidth="1"/>
    <col min="1533" max="1533" width="18.28515625" style="88" customWidth="1"/>
    <col min="1534" max="1534" width="17.7109375" style="88" customWidth="1"/>
    <col min="1535" max="1535" width="17.28515625" style="88" customWidth="1"/>
    <col min="1536" max="1536" width="17.42578125" style="88" customWidth="1"/>
    <col min="1537" max="1537" width="12.42578125" style="88" customWidth="1"/>
    <col min="1538" max="1538" width="19.7109375" style="88" customWidth="1"/>
    <col min="1539" max="1539" width="16.28515625" style="88" customWidth="1"/>
    <col min="1540" max="1780" width="9" style="88"/>
    <col min="1781" max="1781" width="6.28515625" style="88" customWidth="1"/>
    <col min="1782" max="1782" width="37.28515625" style="88" customWidth="1"/>
    <col min="1783" max="1784" width="21.7109375" style="88" customWidth="1"/>
    <col min="1785" max="1785" width="11.28515625" style="88" customWidth="1"/>
    <col min="1786" max="1786" width="9.7109375" style="88" customWidth="1"/>
    <col min="1787" max="1788" width="11.42578125" style="88" customWidth="1"/>
    <col min="1789" max="1789" width="18.28515625" style="88" customWidth="1"/>
    <col min="1790" max="1790" width="17.7109375" style="88" customWidth="1"/>
    <col min="1791" max="1791" width="17.28515625" style="88" customWidth="1"/>
    <col min="1792" max="1792" width="17.42578125" style="88" customWidth="1"/>
    <col min="1793" max="1793" width="12.42578125" style="88" customWidth="1"/>
    <col min="1794" max="1794" width="19.7109375" style="88" customWidth="1"/>
    <col min="1795" max="1795" width="16.28515625" style="88" customWidth="1"/>
    <col min="1796" max="2036" width="9" style="88"/>
    <col min="2037" max="2037" width="6.28515625" style="88" customWidth="1"/>
    <col min="2038" max="2038" width="37.28515625" style="88" customWidth="1"/>
    <col min="2039" max="2040" width="21.7109375" style="88" customWidth="1"/>
    <col min="2041" max="2041" width="11.28515625" style="88" customWidth="1"/>
    <col min="2042" max="2042" width="9.7109375" style="88" customWidth="1"/>
    <col min="2043" max="2044" width="11.42578125" style="88" customWidth="1"/>
    <col min="2045" max="2045" width="18.28515625" style="88" customWidth="1"/>
    <col min="2046" max="2046" width="17.7109375" style="88" customWidth="1"/>
    <col min="2047" max="2047" width="17.28515625" style="88" customWidth="1"/>
    <col min="2048" max="2048" width="17.42578125" style="88" customWidth="1"/>
    <col min="2049" max="2049" width="12.42578125" style="88" customWidth="1"/>
    <col min="2050" max="2050" width="19.7109375" style="88" customWidth="1"/>
    <col min="2051" max="2051" width="16.28515625" style="88" customWidth="1"/>
    <col min="2052" max="2292" width="9" style="88"/>
    <col min="2293" max="2293" width="6.28515625" style="88" customWidth="1"/>
    <col min="2294" max="2294" width="37.28515625" style="88" customWidth="1"/>
    <col min="2295" max="2296" width="21.7109375" style="88" customWidth="1"/>
    <col min="2297" max="2297" width="11.28515625" style="88" customWidth="1"/>
    <col min="2298" max="2298" width="9.7109375" style="88" customWidth="1"/>
    <col min="2299" max="2300" width="11.42578125" style="88" customWidth="1"/>
    <col min="2301" max="2301" width="18.28515625" style="88" customWidth="1"/>
    <col min="2302" max="2302" width="17.7109375" style="88" customWidth="1"/>
    <col min="2303" max="2303" width="17.28515625" style="88" customWidth="1"/>
    <col min="2304" max="2304" width="17.42578125" style="88" customWidth="1"/>
    <col min="2305" max="2305" width="12.42578125" style="88" customWidth="1"/>
    <col min="2306" max="2306" width="19.7109375" style="88" customWidth="1"/>
    <col min="2307" max="2307" width="16.28515625" style="88" customWidth="1"/>
    <col min="2308" max="2548" width="9" style="88"/>
    <col min="2549" max="2549" width="6.28515625" style="88" customWidth="1"/>
    <col min="2550" max="2550" width="37.28515625" style="88" customWidth="1"/>
    <col min="2551" max="2552" width="21.7109375" style="88" customWidth="1"/>
    <col min="2553" max="2553" width="11.28515625" style="88" customWidth="1"/>
    <col min="2554" max="2554" width="9.7109375" style="88" customWidth="1"/>
    <col min="2555" max="2556" width="11.42578125" style="88" customWidth="1"/>
    <col min="2557" max="2557" width="18.28515625" style="88" customWidth="1"/>
    <col min="2558" max="2558" width="17.7109375" style="88" customWidth="1"/>
    <col min="2559" max="2559" width="17.28515625" style="88" customWidth="1"/>
    <col min="2560" max="2560" width="17.42578125" style="88" customWidth="1"/>
    <col min="2561" max="2561" width="12.42578125" style="88" customWidth="1"/>
    <col min="2562" max="2562" width="19.7109375" style="88" customWidth="1"/>
    <col min="2563" max="2563" width="16.28515625" style="88" customWidth="1"/>
    <col min="2564" max="2804" width="9" style="88"/>
    <col min="2805" max="2805" width="6.28515625" style="88" customWidth="1"/>
    <col min="2806" max="2806" width="37.28515625" style="88" customWidth="1"/>
    <col min="2807" max="2808" width="21.7109375" style="88" customWidth="1"/>
    <col min="2809" max="2809" width="11.28515625" style="88" customWidth="1"/>
    <col min="2810" max="2810" width="9.7109375" style="88" customWidth="1"/>
    <col min="2811" max="2812" width="11.42578125" style="88" customWidth="1"/>
    <col min="2813" max="2813" width="18.28515625" style="88" customWidth="1"/>
    <col min="2814" max="2814" width="17.7109375" style="88" customWidth="1"/>
    <col min="2815" max="2815" width="17.28515625" style="88" customWidth="1"/>
    <col min="2816" max="2816" width="17.42578125" style="88" customWidth="1"/>
    <col min="2817" max="2817" width="12.42578125" style="88" customWidth="1"/>
    <col min="2818" max="2818" width="19.7109375" style="88" customWidth="1"/>
    <col min="2819" max="2819" width="16.28515625" style="88" customWidth="1"/>
    <col min="2820" max="3060" width="9" style="88"/>
    <col min="3061" max="3061" width="6.28515625" style="88" customWidth="1"/>
    <col min="3062" max="3062" width="37.28515625" style="88" customWidth="1"/>
    <col min="3063" max="3064" width="21.7109375" style="88" customWidth="1"/>
    <col min="3065" max="3065" width="11.28515625" style="88" customWidth="1"/>
    <col min="3066" max="3066" width="9.7109375" style="88" customWidth="1"/>
    <col min="3067" max="3068" width="11.42578125" style="88" customWidth="1"/>
    <col min="3069" max="3069" width="18.28515625" style="88" customWidth="1"/>
    <col min="3070" max="3070" width="17.7109375" style="88" customWidth="1"/>
    <col min="3071" max="3071" width="17.28515625" style="88" customWidth="1"/>
    <col min="3072" max="3072" width="17.42578125" style="88" customWidth="1"/>
    <col min="3073" max="3073" width="12.42578125" style="88" customWidth="1"/>
    <col min="3074" max="3074" width="19.7109375" style="88" customWidth="1"/>
    <col min="3075" max="3075" width="16.28515625" style="88" customWidth="1"/>
    <col min="3076" max="3316" width="9" style="88"/>
    <col min="3317" max="3317" width="6.28515625" style="88" customWidth="1"/>
    <col min="3318" max="3318" width="37.28515625" style="88" customWidth="1"/>
    <col min="3319" max="3320" width="21.7109375" style="88" customWidth="1"/>
    <col min="3321" max="3321" width="11.28515625" style="88" customWidth="1"/>
    <col min="3322" max="3322" width="9.7109375" style="88" customWidth="1"/>
    <col min="3323" max="3324" width="11.42578125" style="88" customWidth="1"/>
    <col min="3325" max="3325" width="18.28515625" style="88" customWidth="1"/>
    <col min="3326" max="3326" width="17.7109375" style="88" customWidth="1"/>
    <col min="3327" max="3327" width="17.28515625" style="88" customWidth="1"/>
    <col min="3328" max="3328" width="17.42578125" style="88" customWidth="1"/>
    <col min="3329" max="3329" width="12.42578125" style="88" customWidth="1"/>
    <col min="3330" max="3330" width="19.7109375" style="88" customWidth="1"/>
    <col min="3331" max="3331" width="16.28515625" style="88" customWidth="1"/>
    <col min="3332" max="3572" width="9" style="88"/>
    <col min="3573" max="3573" width="6.28515625" style="88" customWidth="1"/>
    <col min="3574" max="3574" width="37.28515625" style="88" customWidth="1"/>
    <col min="3575" max="3576" width="21.7109375" style="88" customWidth="1"/>
    <col min="3577" max="3577" width="11.28515625" style="88" customWidth="1"/>
    <col min="3578" max="3578" width="9.7109375" style="88" customWidth="1"/>
    <col min="3579" max="3580" width="11.42578125" style="88" customWidth="1"/>
    <col min="3581" max="3581" width="18.28515625" style="88" customWidth="1"/>
    <col min="3582" max="3582" width="17.7109375" style="88" customWidth="1"/>
    <col min="3583" max="3583" width="17.28515625" style="88" customWidth="1"/>
    <col min="3584" max="3584" width="17.42578125" style="88" customWidth="1"/>
    <col min="3585" max="3585" width="12.42578125" style="88" customWidth="1"/>
    <col min="3586" max="3586" width="19.7109375" style="88" customWidth="1"/>
    <col min="3587" max="3587" width="16.28515625" style="88" customWidth="1"/>
    <col min="3588" max="3828" width="9" style="88"/>
    <col min="3829" max="3829" width="6.28515625" style="88" customWidth="1"/>
    <col min="3830" max="3830" width="37.28515625" style="88" customWidth="1"/>
    <col min="3831" max="3832" width="21.7109375" style="88" customWidth="1"/>
    <col min="3833" max="3833" width="11.28515625" style="88" customWidth="1"/>
    <col min="3834" max="3834" width="9.7109375" style="88" customWidth="1"/>
    <col min="3835" max="3836" width="11.42578125" style="88" customWidth="1"/>
    <col min="3837" max="3837" width="18.28515625" style="88" customWidth="1"/>
    <col min="3838" max="3838" width="17.7109375" style="88" customWidth="1"/>
    <col min="3839" max="3839" width="17.28515625" style="88" customWidth="1"/>
    <col min="3840" max="3840" width="17.42578125" style="88" customWidth="1"/>
    <col min="3841" max="3841" width="12.42578125" style="88" customWidth="1"/>
    <col min="3842" max="3842" width="19.7109375" style="88" customWidth="1"/>
    <col min="3843" max="3843" width="16.28515625" style="88" customWidth="1"/>
    <col min="3844" max="4084" width="9" style="88"/>
    <col min="4085" max="4085" width="6.28515625" style="88" customWidth="1"/>
    <col min="4086" max="4086" width="37.28515625" style="88" customWidth="1"/>
    <col min="4087" max="4088" width="21.7109375" style="88" customWidth="1"/>
    <col min="4089" max="4089" width="11.28515625" style="88" customWidth="1"/>
    <col min="4090" max="4090" width="9.7109375" style="88" customWidth="1"/>
    <col min="4091" max="4092" width="11.42578125" style="88" customWidth="1"/>
    <col min="4093" max="4093" width="18.28515625" style="88" customWidth="1"/>
    <col min="4094" max="4094" width="17.7109375" style="88" customWidth="1"/>
    <col min="4095" max="4095" width="17.28515625" style="88" customWidth="1"/>
    <col min="4096" max="4096" width="17.42578125" style="88" customWidth="1"/>
    <col min="4097" max="4097" width="12.42578125" style="88" customWidth="1"/>
    <col min="4098" max="4098" width="19.7109375" style="88" customWidth="1"/>
    <col min="4099" max="4099" width="16.28515625" style="88" customWidth="1"/>
    <col min="4100" max="4340" width="9" style="88"/>
    <col min="4341" max="4341" width="6.28515625" style="88" customWidth="1"/>
    <col min="4342" max="4342" width="37.28515625" style="88" customWidth="1"/>
    <col min="4343" max="4344" width="21.7109375" style="88" customWidth="1"/>
    <col min="4345" max="4345" width="11.28515625" style="88" customWidth="1"/>
    <col min="4346" max="4346" width="9.7109375" style="88" customWidth="1"/>
    <col min="4347" max="4348" width="11.42578125" style="88" customWidth="1"/>
    <col min="4349" max="4349" width="18.28515625" style="88" customWidth="1"/>
    <col min="4350" max="4350" width="17.7109375" style="88" customWidth="1"/>
    <col min="4351" max="4351" width="17.28515625" style="88" customWidth="1"/>
    <col min="4352" max="4352" width="17.42578125" style="88" customWidth="1"/>
    <col min="4353" max="4353" width="12.42578125" style="88" customWidth="1"/>
    <col min="4354" max="4354" width="19.7109375" style="88" customWidth="1"/>
    <col min="4355" max="4355" width="16.28515625" style="88" customWidth="1"/>
    <col min="4356" max="4596" width="9" style="88"/>
    <col min="4597" max="4597" width="6.28515625" style="88" customWidth="1"/>
    <col min="4598" max="4598" width="37.28515625" style="88" customWidth="1"/>
    <col min="4599" max="4600" width="21.7109375" style="88" customWidth="1"/>
    <col min="4601" max="4601" width="11.28515625" style="88" customWidth="1"/>
    <col min="4602" max="4602" width="9.7109375" style="88" customWidth="1"/>
    <col min="4603" max="4604" width="11.42578125" style="88" customWidth="1"/>
    <col min="4605" max="4605" width="18.28515625" style="88" customWidth="1"/>
    <col min="4606" max="4606" width="17.7109375" style="88" customWidth="1"/>
    <col min="4607" max="4607" width="17.28515625" style="88" customWidth="1"/>
    <col min="4608" max="4608" width="17.42578125" style="88" customWidth="1"/>
    <col min="4609" max="4609" width="12.42578125" style="88" customWidth="1"/>
    <col min="4610" max="4610" width="19.7109375" style="88" customWidth="1"/>
    <col min="4611" max="4611" width="16.28515625" style="88" customWidth="1"/>
    <col min="4612" max="4852" width="9" style="88"/>
    <col min="4853" max="4853" width="6.28515625" style="88" customWidth="1"/>
    <col min="4854" max="4854" width="37.28515625" style="88" customWidth="1"/>
    <col min="4855" max="4856" width="21.7109375" style="88" customWidth="1"/>
    <col min="4857" max="4857" width="11.28515625" style="88" customWidth="1"/>
    <col min="4858" max="4858" width="9.7109375" style="88" customWidth="1"/>
    <col min="4859" max="4860" width="11.42578125" style="88" customWidth="1"/>
    <col min="4861" max="4861" width="18.28515625" style="88" customWidth="1"/>
    <col min="4862" max="4862" width="17.7109375" style="88" customWidth="1"/>
    <col min="4863" max="4863" width="17.28515625" style="88" customWidth="1"/>
    <col min="4864" max="4864" width="17.42578125" style="88" customWidth="1"/>
    <col min="4865" max="4865" width="12.42578125" style="88" customWidth="1"/>
    <col min="4866" max="4866" width="19.7109375" style="88" customWidth="1"/>
    <col min="4867" max="4867" width="16.28515625" style="88" customWidth="1"/>
    <col min="4868" max="5108" width="9" style="88"/>
    <col min="5109" max="5109" width="6.28515625" style="88" customWidth="1"/>
    <col min="5110" max="5110" width="37.28515625" style="88" customWidth="1"/>
    <col min="5111" max="5112" width="21.7109375" style="88" customWidth="1"/>
    <col min="5113" max="5113" width="11.28515625" style="88" customWidth="1"/>
    <col min="5114" max="5114" width="9.7109375" style="88" customWidth="1"/>
    <col min="5115" max="5116" width="11.42578125" style="88" customWidth="1"/>
    <col min="5117" max="5117" width="18.28515625" style="88" customWidth="1"/>
    <col min="5118" max="5118" width="17.7109375" style="88" customWidth="1"/>
    <col min="5119" max="5119" width="17.28515625" style="88" customWidth="1"/>
    <col min="5120" max="5120" width="17.42578125" style="88" customWidth="1"/>
    <col min="5121" max="5121" width="12.42578125" style="88" customWidth="1"/>
    <col min="5122" max="5122" width="19.7109375" style="88" customWidth="1"/>
    <col min="5123" max="5123" width="16.28515625" style="88" customWidth="1"/>
    <col min="5124" max="5364" width="9" style="88"/>
    <col min="5365" max="5365" width="6.28515625" style="88" customWidth="1"/>
    <col min="5366" max="5366" width="37.28515625" style="88" customWidth="1"/>
    <col min="5367" max="5368" width="21.7109375" style="88" customWidth="1"/>
    <col min="5369" max="5369" width="11.28515625" style="88" customWidth="1"/>
    <col min="5370" max="5370" width="9.7109375" style="88" customWidth="1"/>
    <col min="5371" max="5372" width="11.42578125" style="88" customWidth="1"/>
    <col min="5373" max="5373" width="18.28515625" style="88" customWidth="1"/>
    <col min="5374" max="5374" width="17.7109375" style="88" customWidth="1"/>
    <col min="5375" max="5375" width="17.28515625" style="88" customWidth="1"/>
    <col min="5376" max="5376" width="17.42578125" style="88" customWidth="1"/>
    <col min="5377" max="5377" width="12.42578125" style="88" customWidth="1"/>
    <col min="5378" max="5378" width="19.7109375" style="88" customWidth="1"/>
    <col min="5379" max="5379" width="16.28515625" style="88" customWidth="1"/>
    <col min="5380" max="5620" width="9" style="88"/>
    <col min="5621" max="5621" width="6.28515625" style="88" customWidth="1"/>
    <col min="5622" max="5622" width="37.28515625" style="88" customWidth="1"/>
    <col min="5623" max="5624" width="21.7109375" style="88" customWidth="1"/>
    <col min="5625" max="5625" width="11.28515625" style="88" customWidth="1"/>
    <col min="5626" max="5626" width="9.7109375" style="88" customWidth="1"/>
    <col min="5627" max="5628" width="11.42578125" style="88" customWidth="1"/>
    <col min="5629" max="5629" width="18.28515625" style="88" customWidth="1"/>
    <col min="5630" max="5630" width="17.7109375" style="88" customWidth="1"/>
    <col min="5631" max="5631" width="17.28515625" style="88" customWidth="1"/>
    <col min="5632" max="5632" width="17.42578125" style="88" customWidth="1"/>
    <col min="5633" max="5633" width="12.42578125" style="88" customWidth="1"/>
    <col min="5634" max="5634" width="19.7109375" style="88" customWidth="1"/>
    <col min="5635" max="5635" width="16.28515625" style="88" customWidth="1"/>
    <col min="5636" max="5876" width="9" style="88"/>
    <col min="5877" max="5877" width="6.28515625" style="88" customWidth="1"/>
    <col min="5878" max="5878" width="37.28515625" style="88" customWidth="1"/>
    <col min="5879" max="5880" width="21.7109375" style="88" customWidth="1"/>
    <col min="5881" max="5881" width="11.28515625" style="88" customWidth="1"/>
    <col min="5882" max="5882" width="9.7109375" style="88" customWidth="1"/>
    <col min="5883" max="5884" width="11.42578125" style="88" customWidth="1"/>
    <col min="5885" max="5885" width="18.28515625" style="88" customWidth="1"/>
    <col min="5886" max="5886" width="17.7109375" style="88" customWidth="1"/>
    <col min="5887" max="5887" width="17.28515625" style="88" customWidth="1"/>
    <col min="5888" max="5888" width="17.42578125" style="88" customWidth="1"/>
    <col min="5889" max="5889" width="12.42578125" style="88" customWidth="1"/>
    <col min="5890" max="5890" width="19.7109375" style="88" customWidth="1"/>
    <col min="5891" max="5891" width="16.28515625" style="88" customWidth="1"/>
    <col min="5892" max="6132" width="9" style="88"/>
    <col min="6133" max="6133" width="6.28515625" style="88" customWidth="1"/>
    <col min="6134" max="6134" width="37.28515625" style="88" customWidth="1"/>
    <col min="6135" max="6136" width="21.7109375" style="88" customWidth="1"/>
    <col min="6137" max="6137" width="11.28515625" style="88" customWidth="1"/>
    <col min="6138" max="6138" width="9.7109375" style="88" customWidth="1"/>
    <col min="6139" max="6140" width="11.42578125" style="88" customWidth="1"/>
    <col min="6141" max="6141" width="18.28515625" style="88" customWidth="1"/>
    <col min="6142" max="6142" width="17.7109375" style="88" customWidth="1"/>
    <col min="6143" max="6143" width="17.28515625" style="88" customWidth="1"/>
    <col min="6144" max="6144" width="17.42578125" style="88" customWidth="1"/>
    <col min="6145" max="6145" width="12.42578125" style="88" customWidth="1"/>
    <col min="6146" max="6146" width="19.7109375" style="88" customWidth="1"/>
    <col min="6147" max="6147" width="16.28515625" style="88" customWidth="1"/>
    <col min="6148" max="6388" width="9" style="88"/>
    <col min="6389" max="6389" width="6.28515625" style="88" customWidth="1"/>
    <col min="6390" max="6390" width="37.28515625" style="88" customWidth="1"/>
    <col min="6391" max="6392" width="21.7109375" style="88" customWidth="1"/>
    <col min="6393" max="6393" width="11.28515625" style="88" customWidth="1"/>
    <col min="6394" max="6394" width="9.7109375" style="88" customWidth="1"/>
    <col min="6395" max="6396" width="11.42578125" style="88" customWidth="1"/>
    <col min="6397" max="6397" width="18.28515625" style="88" customWidth="1"/>
    <col min="6398" max="6398" width="17.7109375" style="88" customWidth="1"/>
    <col min="6399" max="6399" width="17.28515625" style="88" customWidth="1"/>
    <col min="6400" max="6400" width="17.42578125" style="88" customWidth="1"/>
    <col min="6401" max="6401" width="12.42578125" style="88" customWidth="1"/>
    <col min="6402" max="6402" width="19.7109375" style="88" customWidth="1"/>
    <col min="6403" max="6403" width="16.28515625" style="88" customWidth="1"/>
    <col min="6404" max="6644" width="9" style="88"/>
    <col min="6645" max="6645" width="6.28515625" style="88" customWidth="1"/>
    <col min="6646" max="6646" width="37.28515625" style="88" customWidth="1"/>
    <col min="6647" max="6648" width="21.7109375" style="88" customWidth="1"/>
    <col min="6649" max="6649" width="11.28515625" style="88" customWidth="1"/>
    <col min="6650" max="6650" width="9.7109375" style="88" customWidth="1"/>
    <col min="6651" max="6652" width="11.42578125" style="88" customWidth="1"/>
    <col min="6653" max="6653" width="18.28515625" style="88" customWidth="1"/>
    <col min="6654" max="6654" width="17.7109375" style="88" customWidth="1"/>
    <col min="6655" max="6655" width="17.28515625" style="88" customWidth="1"/>
    <col min="6656" max="6656" width="17.42578125" style="88" customWidth="1"/>
    <col min="6657" max="6657" width="12.42578125" style="88" customWidth="1"/>
    <col min="6658" max="6658" width="19.7109375" style="88" customWidth="1"/>
    <col min="6659" max="6659" width="16.28515625" style="88" customWidth="1"/>
    <col min="6660" max="6900" width="9" style="88"/>
    <col min="6901" max="6901" width="6.28515625" style="88" customWidth="1"/>
    <col min="6902" max="6902" width="37.28515625" style="88" customWidth="1"/>
    <col min="6903" max="6904" width="21.7109375" style="88" customWidth="1"/>
    <col min="6905" max="6905" width="11.28515625" style="88" customWidth="1"/>
    <col min="6906" max="6906" width="9.7109375" style="88" customWidth="1"/>
    <col min="6907" max="6908" width="11.42578125" style="88" customWidth="1"/>
    <col min="6909" max="6909" width="18.28515625" style="88" customWidth="1"/>
    <col min="6910" max="6910" width="17.7109375" style="88" customWidth="1"/>
    <col min="6911" max="6911" width="17.28515625" style="88" customWidth="1"/>
    <col min="6912" max="6912" width="17.42578125" style="88" customWidth="1"/>
    <col min="6913" max="6913" width="12.42578125" style="88" customWidth="1"/>
    <col min="6914" max="6914" width="19.7109375" style="88" customWidth="1"/>
    <col min="6915" max="6915" width="16.28515625" style="88" customWidth="1"/>
    <col min="6916" max="7156" width="9" style="88"/>
    <col min="7157" max="7157" width="6.28515625" style="88" customWidth="1"/>
    <col min="7158" max="7158" width="37.28515625" style="88" customWidth="1"/>
    <col min="7159" max="7160" width="21.7109375" style="88" customWidth="1"/>
    <col min="7161" max="7161" width="11.28515625" style="88" customWidth="1"/>
    <col min="7162" max="7162" width="9.7109375" style="88" customWidth="1"/>
    <col min="7163" max="7164" width="11.42578125" style="88" customWidth="1"/>
    <col min="7165" max="7165" width="18.28515625" style="88" customWidth="1"/>
    <col min="7166" max="7166" width="17.7109375" style="88" customWidth="1"/>
    <col min="7167" max="7167" width="17.28515625" style="88" customWidth="1"/>
    <col min="7168" max="7168" width="17.42578125" style="88" customWidth="1"/>
    <col min="7169" max="7169" width="12.42578125" style="88" customWidth="1"/>
    <col min="7170" max="7170" width="19.7109375" style="88" customWidth="1"/>
    <col min="7171" max="7171" width="16.28515625" style="88" customWidth="1"/>
    <col min="7172" max="7412" width="9" style="88"/>
    <col min="7413" max="7413" width="6.28515625" style="88" customWidth="1"/>
    <col min="7414" max="7414" width="37.28515625" style="88" customWidth="1"/>
    <col min="7415" max="7416" width="21.7109375" style="88" customWidth="1"/>
    <col min="7417" max="7417" width="11.28515625" style="88" customWidth="1"/>
    <col min="7418" max="7418" width="9.7109375" style="88" customWidth="1"/>
    <col min="7419" max="7420" width="11.42578125" style="88" customWidth="1"/>
    <col min="7421" max="7421" width="18.28515625" style="88" customWidth="1"/>
    <col min="7422" max="7422" width="17.7109375" style="88" customWidth="1"/>
    <col min="7423" max="7423" width="17.28515625" style="88" customWidth="1"/>
    <col min="7424" max="7424" width="17.42578125" style="88" customWidth="1"/>
    <col min="7425" max="7425" width="12.42578125" style="88" customWidth="1"/>
    <col min="7426" max="7426" width="19.7109375" style="88" customWidth="1"/>
    <col min="7427" max="7427" width="16.28515625" style="88" customWidth="1"/>
    <col min="7428" max="7668" width="9" style="88"/>
    <col min="7669" max="7669" width="6.28515625" style="88" customWidth="1"/>
    <col min="7670" max="7670" width="37.28515625" style="88" customWidth="1"/>
    <col min="7671" max="7672" width="21.7109375" style="88" customWidth="1"/>
    <col min="7673" max="7673" width="11.28515625" style="88" customWidth="1"/>
    <col min="7674" max="7674" width="9.7109375" style="88" customWidth="1"/>
    <col min="7675" max="7676" width="11.42578125" style="88" customWidth="1"/>
    <col min="7677" max="7677" width="18.28515625" style="88" customWidth="1"/>
    <col min="7678" max="7678" width="17.7109375" style="88" customWidth="1"/>
    <col min="7679" max="7679" width="17.28515625" style="88" customWidth="1"/>
    <col min="7680" max="7680" width="17.42578125" style="88" customWidth="1"/>
    <col min="7681" max="7681" width="12.42578125" style="88" customWidth="1"/>
    <col min="7682" max="7682" width="19.7109375" style="88" customWidth="1"/>
    <col min="7683" max="7683" width="16.28515625" style="88" customWidth="1"/>
    <col min="7684" max="7924" width="9" style="88"/>
    <col min="7925" max="7925" width="6.28515625" style="88" customWidth="1"/>
    <col min="7926" max="7926" width="37.28515625" style="88" customWidth="1"/>
    <col min="7927" max="7928" width="21.7109375" style="88" customWidth="1"/>
    <col min="7929" max="7929" width="11.28515625" style="88" customWidth="1"/>
    <col min="7930" max="7930" width="9.7109375" style="88" customWidth="1"/>
    <col min="7931" max="7932" width="11.42578125" style="88" customWidth="1"/>
    <col min="7933" max="7933" width="18.28515625" style="88" customWidth="1"/>
    <col min="7934" max="7934" width="17.7109375" style="88" customWidth="1"/>
    <col min="7935" max="7935" width="17.28515625" style="88" customWidth="1"/>
    <col min="7936" max="7936" width="17.42578125" style="88" customWidth="1"/>
    <col min="7937" max="7937" width="12.42578125" style="88" customWidth="1"/>
    <col min="7938" max="7938" width="19.7109375" style="88" customWidth="1"/>
    <col min="7939" max="7939" width="16.28515625" style="88" customWidth="1"/>
    <col min="7940" max="8180" width="9" style="88"/>
    <col min="8181" max="8181" width="6.28515625" style="88" customWidth="1"/>
    <col min="8182" max="8182" width="37.28515625" style="88" customWidth="1"/>
    <col min="8183" max="8184" width="21.7109375" style="88" customWidth="1"/>
    <col min="8185" max="8185" width="11.28515625" style="88" customWidth="1"/>
    <col min="8186" max="8186" width="9.7109375" style="88" customWidth="1"/>
    <col min="8187" max="8188" width="11.42578125" style="88" customWidth="1"/>
    <col min="8189" max="8189" width="18.28515625" style="88" customWidth="1"/>
    <col min="8190" max="8190" width="17.7109375" style="88" customWidth="1"/>
    <col min="8191" max="8191" width="17.28515625" style="88" customWidth="1"/>
    <col min="8192" max="8192" width="17.42578125" style="88" customWidth="1"/>
    <col min="8193" max="8193" width="12.42578125" style="88" customWidth="1"/>
    <col min="8194" max="8194" width="19.7109375" style="88" customWidth="1"/>
    <col min="8195" max="8195" width="16.28515625" style="88" customWidth="1"/>
    <col min="8196" max="8436" width="9" style="88"/>
    <col min="8437" max="8437" width="6.28515625" style="88" customWidth="1"/>
    <col min="8438" max="8438" width="37.28515625" style="88" customWidth="1"/>
    <col min="8439" max="8440" width="21.7109375" style="88" customWidth="1"/>
    <col min="8441" max="8441" width="11.28515625" style="88" customWidth="1"/>
    <col min="8442" max="8442" width="9.7109375" style="88" customWidth="1"/>
    <col min="8443" max="8444" width="11.42578125" style="88" customWidth="1"/>
    <col min="8445" max="8445" width="18.28515625" style="88" customWidth="1"/>
    <col min="8446" max="8446" width="17.7109375" style="88" customWidth="1"/>
    <col min="8447" max="8447" width="17.28515625" style="88" customWidth="1"/>
    <col min="8448" max="8448" width="17.42578125" style="88" customWidth="1"/>
    <col min="8449" max="8449" width="12.42578125" style="88" customWidth="1"/>
    <col min="8450" max="8450" width="19.7109375" style="88" customWidth="1"/>
    <col min="8451" max="8451" width="16.28515625" style="88" customWidth="1"/>
    <col min="8452" max="8692" width="9" style="88"/>
    <col min="8693" max="8693" width="6.28515625" style="88" customWidth="1"/>
    <col min="8694" max="8694" width="37.28515625" style="88" customWidth="1"/>
    <col min="8695" max="8696" width="21.7109375" style="88" customWidth="1"/>
    <col min="8697" max="8697" width="11.28515625" style="88" customWidth="1"/>
    <col min="8698" max="8698" width="9.7109375" style="88" customWidth="1"/>
    <col min="8699" max="8700" width="11.42578125" style="88" customWidth="1"/>
    <col min="8701" max="8701" width="18.28515625" style="88" customWidth="1"/>
    <col min="8702" max="8702" width="17.7109375" style="88" customWidth="1"/>
    <col min="8703" max="8703" width="17.28515625" style="88" customWidth="1"/>
    <col min="8704" max="8704" width="17.42578125" style="88" customWidth="1"/>
    <col min="8705" max="8705" width="12.42578125" style="88" customWidth="1"/>
    <col min="8706" max="8706" width="19.7109375" style="88" customWidth="1"/>
    <col min="8707" max="8707" width="16.28515625" style="88" customWidth="1"/>
    <col min="8708" max="8948" width="9" style="88"/>
    <col min="8949" max="8949" width="6.28515625" style="88" customWidth="1"/>
    <col min="8950" max="8950" width="37.28515625" style="88" customWidth="1"/>
    <col min="8951" max="8952" width="21.7109375" style="88" customWidth="1"/>
    <col min="8953" max="8953" width="11.28515625" style="88" customWidth="1"/>
    <col min="8954" max="8954" width="9.7109375" style="88" customWidth="1"/>
    <col min="8955" max="8956" width="11.42578125" style="88" customWidth="1"/>
    <col min="8957" max="8957" width="18.28515625" style="88" customWidth="1"/>
    <col min="8958" max="8958" width="17.7109375" style="88" customWidth="1"/>
    <col min="8959" max="8959" width="17.28515625" style="88" customWidth="1"/>
    <col min="8960" max="8960" width="17.42578125" style="88" customWidth="1"/>
    <col min="8961" max="8961" width="12.42578125" style="88" customWidth="1"/>
    <col min="8962" max="8962" width="19.7109375" style="88" customWidth="1"/>
    <col min="8963" max="8963" width="16.28515625" style="88" customWidth="1"/>
    <col min="8964" max="9204" width="9" style="88"/>
    <col min="9205" max="9205" width="6.28515625" style="88" customWidth="1"/>
    <col min="9206" max="9206" width="37.28515625" style="88" customWidth="1"/>
    <col min="9207" max="9208" width="21.7109375" style="88" customWidth="1"/>
    <col min="9209" max="9209" width="11.28515625" style="88" customWidth="1"/>
    <col min="9210" max="9210" width="9.7109375" style="88" customWidth="1"/>
    <col min="9211" max="9212" width="11.42578125" style="88" customWidth="1"/>
    <col min="9213" max="9213" width="18.28515625" style="88" customWidth="1"/>
    <col min="9214" max="9214" width="17.7109375" style="88" customWidth="1"/>
    <col min="9215" max="9215" width="17.28515625" style="88" customWidth="1"/>
    <col min="9216" max="9216" width="17.42578125" style="88" customWidth="1"/>
    <col min="9217" max="9217" width="12.42578125" style="88" customWidth="1"/>
    <col min="9218" max="9218" width="19.7109375" style="88" customWidth="1"/>
    <col min="9219" max="9219" width="16.28515625" style="88" customWidth="1"/>
    <col min="9220" max="9460" width="9" style="88"/>
    <col min="9461" max="9461" width="6.28515625" style="88" customWidth="1"/>
    <col min="9462" max="9462" width="37.28515625" style="88" customWidth="1"/>
    <col min="9463" max="9464" width="21.7109375" style="88" customWidth="1"/>
    <col min="9465" max="9465" width="11.28515625" style="88" customWidth="1"/>
    <col min="9466" max="9466" width="9.7109375" style="88" customWidth="1"/>
    <col min="9467" max="9468" width="11.42578125" style="88" customWidth="1"/>
    <col min="9469" max="9469" width="18.28515625" style="88" customWidth="1"/>
    <col min="9470" max="9470" width="17.7109375" style="88" customWidth="1"/>
    <col min="9471" max="9471" width="17.28515625" style="88" customWidth="1"/>
    <col min="9472" max="9472" width="17.42578125" style="88" customWidth="1"/>
    <col min="9473" max="9473" width="12.42578125" style="88" customWidth="1"/>
    <col min="9474" max="9474" width="19.7109375" style="88" customWidth="1"/>
    <col min="9475" max="9475" width="16.28515625" style="88" customWidth="1"/>
    <col min="9476" max="9716" width="9" style="88"/>
    <col min="9717" max="9717" width="6.28515625" style="88" customWidth="1"/>
    <col min="9718" max="9718" width="37.28515625" style="88" customWidth="1"/>
    <col min="9719" max="9720" width="21.7109375" style="88" customWidth="1"/>
    <col min="9721" max="9721" width="11.28515625" style="88" customWidth="1"/>
    <col min="9722" max="9722" width="9.7109375" style="88" customWidth="1"/>
    <col min="9723" max="9724" width="11.42578125" style="88" customWidth="1"/>
    <col min="9725" max="9725" width="18.28515625" style="88" customWidth="1"/>
    <col min="9726" max="9726" width="17.7109375" style="88" customWidth="1"/>
    <col min="9727" max="9727" width="17.28515625" style="88" customWidth="1"/>
    <col min="9728" max="9728" width="17.42578125" style="88" customWidth="1"/>
    <col min="9729" max="9729" width="12.42578125" style="88" customWidth="1"/>
    <col min="9730" max="9730" width="19.7109375" style="88" customWidth="1"/>
    <col min="9731" max="9731" width="16.28515625" style="88" customWidth="1"/>
    <col min="9732" max="9972" width="9" style="88"/>
    <col min="9973" max="9973" width="6.28515625" style="88" customWidth="1"/>
    <col min="9974" max="9974" width="37.28515625" style="88" customWidth="1"/>
    <col min="9975" max="9976" width="21.7109375" style="88" customWidth="1"/>
    <col min="9977" max="9977" width="11.28515625" style="88" customWidth="1"/>
    <col min="9978" max="9978" width="9.7109375" style="88" customWidth="1"/>
    <col min="9979" max="9980" width="11.42578125" style="88" customWidth="1"/>
    <col min="9981" max="9981" width="18.28515625" style="88" customWidth="1"/>
    <col min="9982" max="9982" width="17.7109375" style="88" customWidth="1"/>
    <col min="9983" max="9983" width="17.28515625" style="88" customWidth="1"/>
    <col min="9984" max="9984" width="17.42578125" style="88" customWidth="1"/>
    <col min="9985" max="9985" width="12.42578125" style="88" customWidth="1"/>
    <col min="9986" max="9986" width="19.7109375" style="88" customWidth="1"/>
    <col min="9987" max="9987" width="16.28515625" style="88" customWidth="1"/>
    <col min="9988" max="10228" width="9" style="88"/>
    <col min="10229" max="10229" width="6.28515625" style="88" customWidth="1"/>
    <col min="10230" max="10230" width="37.28515625" style="88" customWidth="1"/>
    <col min="10231" max="10232" width="21.7109375" style="88" customWidth="1"/>
    <col min="10233" max="10233" width="11.28515625" style="88" customWidth="1"/>
    <col min="10234" max="10234" width="9.7109375" style="88" customWidth="1"/>
    <col min="10235" max="10236" width="11.42578125" style="88" customWidth="1"/>
    <col min="10237" max="10237" width="18.28515625" style="88" customWidth="1"/>
    <col min="10238" max="10238" width="17.7109375" style="88" customWidth="1"/>
    <col min="10239" max="10239" width="17.28515625" style="88" customWidth="1"/>
    <col min="10240" max="10240" width="17.42578125" style="88" customWidth="1"/>
    <col min="10241" max="10241" width="12.42578125" style="88" customWidth="1"/>
    <col min="10242" max="10242" width="19.7109375" style="88" customWidth="1"/>
    <col min="10243" max="10243" width="16.28515625" style="88" customWidth="1"/>
    <col min="10244" max="10484" width="9" style="88"/>
    <col min="10485" max="10485" width="6.28515625" style="88" customWidth="1"/>
    <col min="10486" max="10486" width="37.28515625" style="88" customWidth="1"/>
    <col min="10487" max="10488" width="21.7109375" style="88" customWidth="1"/>
    <col min="10489" max="10489" width="11.28515625" style="88" customWidth="1"/>
    <col min="10490" max="10490" width="9.7109375" style="88" customWidth="1"/>
    <col min="10491" max="10492" width="11.42578125" style="88" customWidth="1"/>
    <col min="10493" max="10493" width="18.28515625" style="88" customWidth="1"/>
    <col min="10494" max="10494" width="17.7109375" style="88" customWidth="1"/>
    <col min="10495" max="10495" width="17.28515625" style="88" customWidth="1"/>
    <col min="10496" max="10496" width="17.42578125" style="88" customWidth="1"/>
    <col min="10497" max="10497" width="12.42578125" style="88" customWidth="1"/>
    <col min="10498" max="10498" width="19.7109375" style="88" customWidth="1"/>
    <col min="10499" max="10499" width="16.28515625" style="88" customWidth="1"/>
    <col min="10500" max="10740" width="9" style="88"/>
    <col min="10741" max="10741" width="6.28515625" style="88" customWidth="1"/>
    <col min="10742" max="10742" width="37.28515625" style="88" customWidth="1"/>
    <col min="10743" max="10744" width="21.7109375" style="88" customWidth="1"/>
    <col min="10745" max="10745" width="11.28515625" style="88" customWidth="1"/>
    <col min="10746" max="10746" width="9.7109375" style="88" customWidth="1"/>
    <col min="10747" max="10748" width="11.42578125" style="88" customWidth="1"/>
    <col min="10749" max="10749" width="18.28515625" style="88" customWidth="1"/>
    <col min="10750" max="10750" width="17.7109375" style="88" customWidth="1"/>
    <col min="10751" max="10751" width="17.28515625" style="88" customWidth="1"/>
    <col min="10752" max="10752" width="17.42578125" style="88" customWidth="1"/>
    <col min="10753" max="10753" width="12.42578125" style="88" customWidth="1"/>
    <col min="10754" max="10754" width="19.7109375" style="88" customWidth="1"/>
    <col min="10755" max="10755" width="16.28515625" style="88" customWidth="1"/>
    <col min="10756" max="10996" width="9" style="88"/>
    <col min="10997" max="10997" width="6.28515625" style="88" customWidth="1"/>
    <col min="10998" max="10998" width="37.28515625" style="88" customWidth="1"/>
    <col min="10999" max="11000" width="21.7109375" style="88" customWidth="1"/>
    <col min="11001" max="11001" width="11.28515625" style="88" customWidth="1"/>
    <col min="11002" max="11002" width="9.7109375" style="88" customWidth="1"/>
    <col min="11003" max="11004" width="11.42578125" style="88" customWidth="1"/>
    <col min="11005" max="11005" width="18.28515625" style="88" customWidth="1"/>
    <col min="11006" max="11006" width="17.7109375" style="88" customWidth="1"/>
    <col min="11007" max="11007" width="17.28515625" style="88" customWidth="1"/>
    <col min="11008" max="11008" width="17.42578125" style="88" customWidth="1"/>
    <col min="11009" max="11009" width="12.42578125" style="88" customWidth="1"/>
    <col min="11010" max="11010" width="19.7109375" style="88" customWidth="1"/>
    <col min="11011" max="11011" width="16.28515625" style="88" customWidth="1"/>
    <col min="11012" max="11252" width="9" style="88"/>
    <col min="11253" max="11253" width="6.28515625" style="88" customWidth="1"/>
    <col min="11254" max="11254" width="37.28515625" style="88" customWidth="1"/>
    <col min="11255" max="11256" width="21.7109375" style="88" customWidth="1"/>
    <col min="11257" max="11257" width="11.28515625" style="88" customWidth="1"/>
    <col min="11258" max="11258" width="9.7109375" style="88" customWidth="1"/>
    <col min="11259" max="11260" width="11.42578125" style="88" customWidth="1"/>
    <col min="11261" max="11261" width="18.28515625" style="88" customWidth="1"/>
    <col min="11262" max="11262" width="17.7109375" style="88" customWidth="1"/>
    <col min="11263" max="11263" width="17.28515625" style="88" customWidth="1"/>
    <col min="11264" max="11264" width="17.42578125" style="88" customWidth="1"/>
    <col min="11265" max="11265" width="12.42578125" style="88" customWidth="1"/>
    <col min="11266" max="11266" width="19.7109375" style="88" customWidth="1"/>
    <col min="11267" max="11267" width="16.28515625" style="88" customWidth="1"/>
    <col min="11268" max="11508" width="9" style="88"/>
    <col min="11509" max="11509" width="6.28515625" style="88" customWidth="1"/>
    <col min="11510" max="11510" width="37.28515625" style="88" customWidth="1"/>
    <col min="11511" max="11512" width="21.7109375" style="88" customWidth="1"/>
    <col min="11513" max="11513" width="11.28515625" style="88" customWidth="1"/>
    <col min="11514" max="11514" width="9.7109375" style="88" customWidth="1"/>
    <col min="11515" max="11516" width="11.42578125" style="88" customWidth="1"/>
    <col min="11517" max="11517" width="18.28515625" style="88" customWidth="1"/>
    <col min="11518" max="11518" width="17.7109375" style="88" customWidth="1"/>
    <col min="11519" max="11519" width="17.28515625" style="88" customWidth="1"/>
    <col min="11520" max="11520" width="17.42578125" style="88" customWidth="1"/>
    <col min="11521" max="11521" width="12.42578125" style="88" customWidth="1"/>
    <col min="11522" max="11522" width="19.7109375" style="88" customWidth="1"/>
    <col min="11523" max="11523" width="16.28515625" style="88" customWidth="1"/>
    <col min="11524" max="11764" width="9" style="88"/>
    <col min="11765" max="11765" width="6.28515625" style="88" customWidth="1"/>
    <col min="11766" max="11766" width="37.28515625" style="88" customWidth="1"/>
    <col min="11767" max="11768" width="21.7109375" style="88" customWidth="1"/>
    <col min="11769" max="11769" width="11.28515625" style="88" customWidth="1"/>
    <col min="11770" max="11770" width="9.7109375" style="88" customWidth="1"/>
    <col min="11771" max="11772" width="11.42578125" style="88" customWidth="1"/>
    <col min="11773" max="11773" width="18.28515625" style="88" customWidth="1"/>
    <col min="11774" max="11774" width="17.7109375" style="88" customWidth="1"/>
    <col min="11775" max="11775" width="17.28515625" style="88" customWidth="1"/>
    <col min="11776" max="11776" width="17.42578125" style="88" customWidth="1"/>
    <col min="11777" max="11777" width="12.42578125" style="88" customWidth="1"/>
    <col min="11778" max="11778" width="19.7109375" style="88" customWidth="1"/>
    <col min="11779" max="11779" width="16.28515625" style="88" customWidth="1"/>
    <col min="11780" max="12020" width="9" style="88"/>
    <col min="12021" max="12021" width="6.28515625" style="88" customWidth="1"/>
    <col min="12022" max="12022" width="37.28515625" style="88" customWidth="1"/>
    <col min="12023" max="12024" width="21.7109375" style="88" customWidth="1"/>
    <col min="12025" max="12025" width="11.28515625" style="88" customWidth="1"/>
    <col min="12026" max="12026" width="9.7109375" style="88" customWidth="1"/>
    <col min="12027" max="12028" width="11.42578125" style="88" customWidth="1"/>
    <col min="12029" max="12029" width="18.28515625" style="88" customWidth="1"/>
    <col min="12030" max="12030" width="17.7109375" style="88" customWidth="1"/>
    <col min="12031" max="12031" width="17.28515625" style="88" customWidth="1"/>
    <col min="12032" max="12032" width="17.42578125" style="88" customWidth="1"/>
    <col min="12033" max="12033" width="12.42578125" style="88" customWidth="1"/>
    <col min="12034" max="12034" width="19.7109375" style="88" customWidth="1"/>
    <col min="12035" max="12035" width="16.28515625" style="88" customWidth="1"/>
    <col min="12036" max="12276" width="9" style="88"/>
    <col min="12277" max="12277" width="6.28515625" style="88" customWidth="1"/>
    <col min="12278" max="12278" width="37.28515625" style="88" customWidth="1"/>
    <col min="12279" max="12280" width="21.7109375" style="88" customWidth="1"/>
    <col min="12281" max="12281" width="11.28515625" style="88" customWidth="1"/>
    <col min="12282" max="12282" width="9.7109375" style="88" customWidth="1"/>
    <col min="12283" max="12284" width="11.42578125" style="88" customWidth="1"/>
    <col min="12285" max="12285" width="18.28515625" style="88" customWidth="1"/>
    <col min="12286" max="12286" width="17.7109375" style="88" customWidth="1"/>
    <col min="12287" max="12287" width="17.28515625" style="88" customWidth="1"/>
    <col min="12288" max="12288" width="17.42578125" style="88" customWidth="1"/>
    <col min="12289" max="12289" width="12.42578125" style="88" customWidth="1"/>
    <col min="12290" max="12290" width="19.7109375" style="88" customWidth="1"/>
    <col min="12291" max="12291" width="16.28515625" style="88" customWidth="1"/>
    <col min="12292" max="12532" width="9" style="88"/>
    <col min="12533" max="12533" width="6.28515625" style="88" customWidth="1"/>
    <col min="12534" max="12534" width="37.28515625" style="88" customWidth="1"/>
    <col min="12535" max="12536" width="21.7109375" style="88" customWidth="1"/>
    <col min="12537" max="12537" width="11.28515625" style="88" customWidth="1"/>
    <col min="12538" max="12538" width="9.7109375" style="88" customWidth="1"/>
    <col min="12539" max="12540" width="11.42578125" style="88" customWidth="1"/>
    <col min="12541" max="12541" width="18.28515625" style="88" customWidth="1"/>
    <col min="12542" max="12542" width="17.7109375" style="88" customWidth="1"/>
    <col min="12543" max="12543" width="17.28515625" style="88" customWidth="1"/>
    <col min="12544" max="12544" width="17.42578125" style="88" customWidth="1"/>
    <col min="12545" max="12545" width="12.42578125" style="88" customWidth="1"/>
    <col min="12546" max="12546" width="19.7109375" style="88" customWidth="1"/>
    <col min="12547" max="12547" width="16.28515625" style="88" customWidth="1"/>
    <col min="12548" max="12788" width="9" style="88"/>
    <col min="12789" max="12789" width="6.28515625" style="88" customWidth="1"/>
    <col min="12790" max="12790" width="37.28515625" style="88" customWidth="1"/>
    <col min="12791" max="12792" width="21.7109375" style="88" customWidth="1"/>
    <col min="12793" max="12793" width="11.28515625" style="88" customWidth="1"/>
    <col min="12794" max="12794" width="9.7109375" style="88" customWidth="1"/>
    <col min="12795" max="12796" width="11.42578125" style="88" customWidth="1"/>
    <col min="12797" max="12797" width="18.28515625" style="88" customWidth="1"/>
    <col min="12798" max="12798" width="17.7109375" style="88" customWidth="1"/>
    <col min="12799" max="12799" width="17.28515625" style="88" customWidth="1"/>
    <col min="12800" max="12800" width="17.42578125" style="88" customWidth="1"/>
    <col min="12801" max="12801" width="12.42578125" style="88" customWidth="1"/>
    <col min="12802" max="12802" width="19.7109375" style="88" customWidth="1"/>
    <col min="12803" max="12803" width="16.28515625" style="88" customWidth="1"/>
    <col min="12804" max="13044" width="9" style="88"/>
    <col min="13045" max="13045" width="6.28515625" style="88" customWidth="1"/>
    <col min="13046" max="13046" width="37.28515625" style="88" customWidth="1"/>
    <col min="13047" max="13048" width="21.7109375" style="88" customWidth="1"/>
    <col min="13049" max="13049" width="11.28515625" style="88" customWidth="1"/>
    <col min="13050" max="13050" width="9.7109375" style="88" customWidth="1"/>
    <col min="13051" max="13052" width="11.42578125" style="88" customWidth="1"/>
    <col min="13053" max="13053" width="18.28515625" style="88" customWidth="1"/>
    <col min="13054" max="13054" width="17.7109375" style="88" customWidth="1"/>
    <col min="13055" max="13055" width="17.28515625" style="88" customWidth="1"/>
    <col min="13056" max="13056" width="17.42578125" style="88" customWidth="1"/>
    <col min="13057" max="13057" width="12.42578125" style="88" customWidth="1"/>
    <col min="13058" max="13058" width="19.7109375" style="88" customWidth="1"/>
    <col min="13059" max="13059" width="16.28515625" style="88" customWidth="1"/>
    <col min="13060" max="13300" width="9" style="88"/>
    <col min="13301" max="13301" width="6.28515625" style="88" customWidth="1"/>
    <col min="13302" max="13302" width="37.28515625" style="88" customWidth="1"/>
    <col min="13303" max="13304" width="21.7109375" style="88" customWidth="1"/>
    <col min="13305" max="13305" width="11.28515625" style="88" customWidth="1"/>
    <col min="13306" max="13306" width="9.7109375" style="88" customWidth="1"/>
    <col min="13307" max="13308" width="11.42578125" style="88" customWidth="1"/>
    <col min="13309" max="13309" width="18.28515625" style="88" customWidth="1"/>
    <col min="13310" max="13310" width="17.7109375" style="88" customWidth="1"/>
    <col min="13311" max="13311" width="17.28515625" style="88" customWidth="1"/>
    <col min="13312" max="13312" width="17.42578125" style="88" customWidth="1"/>
    <col min="13313" max="13313" width="12.42578125" style="88" customWidth="1"/>
    <col min="13314" max="13314" width="19.7109375" style="88" customWidth="1"/>
    <col min="13315" max="13315" width="16.28515625" style="88" customWidth="1"/>
    <col min="13316" max="13556" width="9" style="88"/>
    <col min="13557" max="13557" width="6.28515625" style="88" customWidth="1"/>
    <col min="13558" max="13558" width="37.28515625" style="88" customWidth="1"/>
    <col min="13559" max="13560" width="21.7109375" style="88" customWidth="1"/>
    <col min="13561" max="13561" width="11.28515625" style="88" customWidth="1"/>
    <col min="13562" max="13562" width="9.7109375" style="88" customWidth="1"/>
    <col min="13563" max="13564" width="11.42578125" style="88" customWidth="1"/>
    <col min="13565" max="13565" width="18.28515625" style="88" customWidth="1"/>
    <col min="13566" max="13566" width="17.7109375" style="88" customWidth="1"/>
    <col min="13567" max="13567" width="17.28515625" style="88" customWidth="1"/>
    <col min="13568" max="13568" width="17.42578125" style="88" customWidth="1"/>
    <col min="13569" max="13569" width="12.42578125" style="88" customWidth="1"/>
    <col min="13570" max="13570" width="19.7109375" style="88" customWidth="1"/>
    <col min="13571" max="13571" width="16.28515625" style="88" customWidth="1"/>
    <col min="13572" max="13812" width="9" style="88"/>
    <col min="13813" max="13813" width="6.28515625" style="88" customWidth="1"/>
    <col min="13814" max="13814" width="37.28515625" style="88" customWidth="1"/>
    <col min="13815" max="13816" width="21.7109375" style="88" customWidth="1"/>
    <col min="13817" max="13817" width="11.28515625" style="88" customWidth="1"/>
    <col min="13818" max="13818" width="9.7109375" style="88" customWidth="1"/>
    <col min="13819" max="13820" width="11.42578125" style="88" customWidth="1"/>
    <col min="13821" max="13821" width="18.28515625" style="88" customWidth="1"/>
    <col min="13822" max="13822" width="17.7109375" style="88" customWidth="1"/>
    <col min="13823" max="13823" width="17.28515625" style="88" customWidth="1"/>
    <col min="13824" max="13824" width="17.42578125" style="88" customWidth="1"/>
    <col min="13825" max="13825" width="12.42578125" style="88" customWidth="1"/>
    <col min="13826" max="13826" width="19.7109375" style="88" customWidth="1"/>
    <col min="13827" max="13827" width="16.28515625" style="88" customWidth="1"/>
    <col min="13828" max="14068" width="9" style="88"/>
    <col min="14069" max="14069" width="6.28515625" style="88" customWidth="1"/>
    <col min="14070" max="14070" width="37.28515625" style="88" customWidth="1"/>
    <col min="14071" max="14072" width="21.7109375" style="88" customWidth="1"/>
    <col min="14073" max="14073" width="11.28515625" style="88" customWidth="1"/>
    <col min="14074" max="14074" width="9.7109375" style="88" customWidth="1"/>
    <col min="14075" max="14076" width="11.42578125" style="88" customWidth="1"/>
    <col min="14077" max="14077" width="18.28515625" style="88" customWidth="1"/>
    <col min="14078" max="14078" width="17.7109375" style="88" customWidth="1"/>
    <col min="14079" max="14079" width="17.28515625" style="88" customWidth="1"/>
    <col min="14080" max="14080" width="17.42578125" style="88" customWidth="1"/>
    <col min="14081" max="14081" width="12.42578125" style="88" customWidth="1"/>
    <col min="14082" max="14082" width="19.7109375" style="88" customWidth="1"/>
    <col min="14083" max="14083" width="16.28515625" style="88" customWidth="1"/>
    <col min="14084" max="14324" width="9" style="88"/>
    <col min="14325" max="14325" width="6.28515625" style="88" customWidth="1"/>
    <col min="14326" max="14326" width="37.28515625" style="88" customWidth="1"/>
    <col min="14327" max="14328" width="21.7109375" style="88" customWidth="1"/>
    <col min="14329" max="14329" width="11.28515625" style="88" customWidth="1"/>
    <col min="14330" max="14330" width="9.7109375" style="88" customWidth="1"/>
    <col min="14331" max="14332" width="11.42578125" style="88" customWidth="1"/>
    <col min="14333" max="14333" width="18.28515625" style="88" customWidth="1"/>
    <col min="14334" max="14334" width="17.7109375" style="88" customWidth="1"/>
    <col min="14335" max="14335" width="17.28515625" style="88" customWidth="1"/>
    <col min="14336" max="14336" width="17.42578125" style="88" customWidth="1"/>
    <col min="14337" max="14337" width="12.42578125" style="88" customWidth="1"/>
    <col min="14338" max="14338" width="19.7109375" style="88" customWidth="1"/>
    <col min="14339" max="14339" width="16.28515625" style="88" customWidth="1"/>
    <col min="14340" max="14580" width="9" style="88"/>
    <col min="14581" max="14581" width="6.28515625" style="88" customWidth="1"/>
    <col min="14582" max="14582" width="37.28515625" style="88" customWidth="1"/>
    <col min="14583" max="14584" width="21.7109375" style="88" customWidth="1"/>
    <col min="14585" max="14585" width="11.28515625" style="88" customWidth="1"/>
    <col min="14586" max="14586" width="9.7109375" style="88" customWidth="1"/>
    <col min="14587" max="14588" width="11.42578125" style="88" customWidth="1"/>
    <col min="14589" max="14589" width="18.28515625" style="88" customWidth="1"/>
    <col min="14590" max="14590" width="17.7109375" style="88" customWidth="1"/>
    <col min="14591" max="14591" width="17.28515625" style="88" customWidth="1"/>
    <col min="14592" max="14592" width="17.42578125" style="88" customWidth="1"/>
    <col min="14593" max="14593" width="12.42578125" style="88" customWidth="1"/>
    <col min="14594" max="14594" width="19.7109375" style="88" customWidth="1"/>
    <col min="14595" max="14595" width="16.28515625" style="88" customWidth="1"/>
    <col min="14596" max="14836" width="9" style="88"/>
    <col min="14837" max="14837" width="6.28515625" style="88" customWidth="1"/>
    <col min="14838" max="14838" width="37.28515625" style="88" customWidth="1"/>
    <col min="14839" max="14840" width="21.7109375" style="88" customWidth="1"/>
    <col min="14841" max="14841" width="11.28515625" style="88" customWidth="1"/>
    <col min="14842" max="14842" width="9.7109375" style="88" customWidth="1"/>
    <col min="14843" max="14844" width="11.42578125" style="88" customWidth="1"/>
    <col min="14845" max="14845" width="18.28515625" style="88" customWidth="1"/>
    <col min="14846" max="14846" width="17.7109375" style="88" customWidth="1"/>
    <col min="14847" max="14847" width="17.28515625" style="88" customWidth="1"/>
    <col min="14848" max="14848" width="17.42578125" style="88" customWidth="1"/>
    <col min="14849" max="14849" width="12.42578125" style="88" customWidth="1"/>
    <col min="14850" max="14850" width="19.7109375" style="88" customWidth="1"/>
    <col min="14851" max="14851" width="16.28515625" style="88" customWidth="1"/>
    <col min="14852" max="15092" width="9" style="88"/>
    <col min="15093" max="15093" width="6.28515625" style="88" customWidth="1"/>
    <col min="15094" max="15094" width="37.28515625" style="88" customWidth="1"/>
    <col min="15095" max="15096" width="21.7109375" style="88" customWidth="1"/>
    <col min="15097" max="15097" width="11.28515625" style="88" customWidth="1"/>
    <col min="15098" max="15098" width="9.7109375" style="88" customWidth="1"/>
    <col min="15099" max="15100" width="11.42578125" style="88" customWidth="1"/>
    <col min="15101" max="15101" width="18.28515625" style="88" customWidth="1"/>
    <col min="15102" max="15102" width="17.7109375" style="88" customWidth="1"/>
    <col min="15103" max="15103" width="17.28515625" style="88" customWidth="1"/>
    <col min="15104" max="15104" width="17.42578125" style="88" customWidth="1"/>
    <col min="15105" max="15105" width="12.42578125" style="88" customWidth="1"/>
    <col min="15106" max="15106" width="19.7109375" style="88" customWidth="1"/>
    <col min="15107" max="15107" width="16.28515625" style="88" customWidth="1"/>
    <col min="15108" max="15348" width="9" style="88"/>
    <col min="15349" max="15349" width="6.28515625" style="88" customWidth="1"/>
    <col min="15350" max="15350" width="37.28515625" style="88" customWidth="1"/>
    <col min="15351" max="15352" width="21.7109375" style="88" customWidth="1"/>
    <col min="15353" max="15353" width="11.28515625" style="88" customWidth="1"/>
    <col min="15354" max="15354" width="9.7109375" style="88" customWidth="1"/>
    <col min="15355" max="15356" width="11.42578125" style="88" customWidth="1"/>
    <col min="15357" max="15357" width="18.28515625" style="88" customWidth="1"/>
    <col min="15358" max="15358" width="17.7109375" style="88" customWidth="1"/>
    <col min="15359" max="15359" width="17.28515625" style="88" customWidth="1"/>
    <col min="15360" max="15360" width="17.42578125" style="88" customWidth="1"/>
    <col min="15361" max="15361" width="12.42578125" style="88" customWidth="1"/>
    <col min="15362" max="15362" width="19.7109375" style="88" customWidth="1"/>
    <col min="15363" max="15363" width="16.28515625" style="88" customWidth="1"/>
    <col min="15364" max="15604" width="9" style="88"/>
    <col min="15605" max="15605" width="6.28515625" style="88" customWidth="1"/>
    <col min="15606" max="15606" width="37.28515625" style="88" customWidth="1"/>
    <col min="15607" max="15608" width="21.7109375" style="88" customWidth="1"/>
    <col min="15609" max="15609" width="11.28515625" style="88" customWidth="1"/>
    <col min="15610" max="15610" width="9.7109375" style="88" customWidth="1"/>
    <col min="15611" max="15612" width="11.42578125" style="88" customWidth="1"/>
    <col min="15613" max="15613" width="18.28515625" style="88" customWidth="1"/>
    <col min="15614" max="15614" width="17.7109375" style="88" customWidth="1"/>
    <col min="15615" max="15615" width="17.28515625" style="88" customWidth="1"/>
    <col min="15616" max="15616" width="17.42578125" style="88" customWidth="1"/>
    <col min="15617" max="15617" width="12.42578125" style="88" customWidth="1"/>
    <col min="15618" max="15618" width="19.7109375" style="88" customWidth="1"/>
    <col min="15619" max="15619" width="16.28515625" style="88" customWidth="1"/>
    <col min="15620" max="15860" width="9" style="88"/>
    <col min="15861" max="15861" width="6.28515625" style="88" customWidth="1"/>
    <col min="15862" max="15862" width="37.28515625" style="88" customWidth="1"/>
    <col min="15863" max="15864" width="21.7109375" style="88" customWidth="1"/>
    <col min="15865" max="15865" width="11.28515625" style="88" customWidth="1"/>
    <col min="15866" max="15866" width="9.7109375" style="88" customWidth="1"/>
    <col min="15867" max="15868" width="11.42578125" style="88" customWidth="1"/>
    <col min="15869" max="15869" width="18.28515625" style="88" customWidth="1"/>
    <col min="15870" max="15870" width="17.7109375" style="88" customWidth="1"/>
    <col min="15871" max="15871" width="17.28515625" style="88" customWidth="1"/>
    <col min="15872" max="15872" width="17.42578125" style="88" customWidth="1"/>
    <col min="15873" max="15873" width="12.42578125" style="88" customWidth="1"/>
    <col min="15874" max="15874" width="19.7109375" style="88" customWidth="1"/>
    <col min="15875" max="15875" width="16.28515625" style="88" customWidth="1"/>
    <col min="15876" max="16116" width="9" style="88"/>
    <col min="16117" max="16117" width="6.28515625" style="88" customWidth="1"/>
    <col min="16118" max="16118" width="37.28515625" style="88" customWidth="1"/>
    <col min="16119" max="16120" width="21.7109375" style="88" customWidth="1"/>
    <col min="16121" max="16121" width="11.28515625" style="88" customWidth="1"/>
    <col min="16122" max="16122" width="9.7109375" style="88" customWidth="1"/>
    <col min="16123" max="16124" width="11.42578125" style="88" customWidth="1"/>
    <col min="16125" max="16125" width="18.28515625" style="88" customWidth="1"/>
    <col min="16126" max="16126" width="17.7109375" style="88" customWidth="1"/>
    <col min="16127" max="16127" width="17.28515625" style="88" customWidth="1"/>
    <col min="16128" max="16128" width="17.42578125" style="88" customWidth="1"/>
    <col min="16129" max="16129" width="12.42578125" style="88" customWidth="1"/>
    <col min="16130" max="16130" width="19.7109375" style="88" customWidth="1"/>
    <col min="16131" max="16131" width="16.28515625" style="88" customWidth="1"/>
    <col min="16132" max="16376" width="9" style="88"/>
    <col min="16377" max="16379" width="9" style="88" customWidth="1"/>
    <col min="16380" max="16384" width="9" style="88"/>
  </cols>
  <sheetData>
    <row r="1" spans="1:7" x14ac:dyDescent="0.25">
      <c r="A1" s="1138" t="s">
        <v>237</v>
      </c>
      <c r="B1" s="1138"/>
      <c r="C1" s="1138"/>
      <c r="D1" s="434"/>
    </row>
    <row r="2" spans="1:7" x14ac:dyDescent="0.25">
      <c r="C2" s="435"/>
      <c r="D2" s="92"/>
    </row>
    <row r="3" spans="1:7" x14ac:dyDescent="0.25">
      <c r="A3" s="350" t="s">
        <v>238</v>
      </c>
      <c r="B3" s="350" t="s">
        <v>153</v>
      </c>
      <c r="C3" s="350" t="s">
        <v>152</v>
      </c>
      <c r="D3" s="360" t="s">
        <v>224</v>
      </c>
      <c r="E3" s="350" t="s">
        <v>2</v>
      </c>
      <c r="F3" s="436" t="s">
        <v>239</v>
      </c>
      <c r="G3" s="436" t="s">
        <v>30</v>
      </c>
    </row>
    <row r="4" spans="1:7" ht="78.75" x14ac:dyDescent="0.25">
      <c r="A4" s="350" t="s">
        <v>5</v>
      </c>
      <c r="B4" s="361" t="s">
        <v>189</v>
      </c>
      <c r="C4" s="362" t="s">
        <v>240</v>
      </c>
      <c r="D4" s="437" t="s">
        <v>241</v>
      </c>
      <c r="E4" s="438">
        <v>1</v>
      </c>
      <c r="F4" s="436">
        <v>2000000</v>
      </c>
      <c r="G4" s="439">
        <f>F4*E4</f>
        <v>2000000</v>
      </c>
    </row>
    <row r="5" spans="1:7" ht="36.75" customHeight="1" x14ac:dyDescent="0.25">
      <c r="A5" s="350" t="s">
        <v>6</v>
      </c>
      <c r="B5" s="363" t="s">
        <v>59</v>
      </c>
      <c r="C5" s="364"/>
      <c r="D5" s="365"/>
      <c r="E5" s="440"/>
      <c r="F5" s="441"/>
      <c r="G5" s="365">
        <f>G6+G13</f>
        <v>825901680</v>
      </c>
    </row>
    <row r="6" spans="1:7" ht="47.25" x14ac:dyDescent="0.25">
      <c r="A6" s="350" t="s">
        <v>4</v>
      </c>
      <c r="B6" s="364" t="s">
        <v>225</v>
      </c>
      <c r="C6" s="364"/>
      <c r="D6" s="365"/>
      <c r="E6" s="440"/>
      <c r="F6" s="441"/>
      <c r="G6" s="442">
        <f>SUM(G7:G12)</f>
        <v>416040000</v>
      </c>
    </row>
    <row r="7" spans="1:7" ht="94.5" x14ac:dyDescent="0.25">
      <c r="A7" s="433">
        <v>1</v>
      </c>
      <c r="B7" s="432" t="s">
        <v>242</v>
      </c>
      <c r="C7" s="432" t="s">
        <v>243</v>
      </c>
      <c r="D7" s="366" t="s">
        <v>244</v>
      </c>
      <c r="E7" s="440">
        <v>50</v>
      </c>
      <c r="F7" s="441">
        <f>'[2]PL1b_Don gia cong'!J9</f>
        <v>1242000</v>
      </c>
      <c r="G7" s="441">
        <f t="shared" ref="G7:G12" si="0">F7*E7</f>
        <v>62100000</v>
      </c>
    </row>
    <row r="8" spans="1:7" ht="110.25" x14ac:dyDescent="0.25">
      <c r="A8" s="433">
        <v>2</v>
      </c>
      <c r="B8" s="432" t="s">
        <v>226</v>
      </c>
      <c r="C8" s="432" t="s">
        <v>230</v>
      </c>
      <c r="D8" s="366" t="s">
        <v>244</v>
      </c>
      <c r="E8" s="440">
        <v>60</v>
      </c>
      <c r="F8" s="441">
        <f>'[2]PL1b_Don gia cong'!J9</f>
        <v>1242000</v>
      </c>
      <c r="G8" s="441">
        <f t="shared" si="0"/>
        <v>74520000</v>
      </c>
    </row>
    <row r="9" spans="1:7" ht="78.75" x14ac:dyDescent="0.25">
      <c r="A9" s="433">
        <v>3</v>
      </c>
      <c r="B9" s="432" t="s">
        <v>245</v>
      </c>
      <c r="C9" s="432" t="s">
        <v>246</v>
      </c>
      <c r="D9" s="366" t="s">
        <v>247</v>
      </c>
      <c r="E9" s="443">
        <v>60</v>
      </c>
      <c r="F9" s="444">
        <f>'[2]PL1b_Don gia cong'!I9</f>
        <v>1202000</v>
      </c>
      <c r="G9" s="444">
        <f t="shared" si="0"/>
        <v>72120000</v>
      </c>
    </row>
    <row r="10" spans="1:7" ht="47.25" x14ac:dyDescent="0.25">
      <c r="A10" s="433">
        <v>4</v>
      </c>
      <c r="B10" s="432" t="s">
        <v>227</v>
      </c>
      <c r="C10" s="432" t="s">
        <v>231</v>
      </c>
      <c r="D10" s="366" t="s">
        <v>248</v>
      </c>
      <c r="E10" s="445">
        <v>60</v>
      </c>
      <c r="F10" s="371">
        <f>'[2]PL1b_Don gia cong'!H9</f>
        <v>1011000</v>
      </c>
      <c r="G10" s="371">
        <f t="shared" si="0"/>
        <v>60660000</v>
      </c>
    </row>
    <row r="11" spans="1:7" ht="126" x14ac:dyDescent="0.25">
      <c r="A11" s="433">
        <v>5</v>
      </c>
      <c r="B11" s="429" t="s">
        <v>228</v>
      </c>
      <c r="C11" s="432" t="s">
        <v>249</v>
      </c>
      <c r="D11" s="366" t="s">
        <v>247</v>
      </c>
      <c r="E11" s="445">
        <v>60</v>
      </c>
      <c r="F11" s="371">
        <f>'[2]PL1b_Don gia cong'!I9</f>
        <v>1202000</v>
      </c>
      <c r="G11" s="371">
        <f t="shared" si="0"/>
        <v>72120000</v>
      </c>
    </row>
    <row r="12" spans="1:7" ht="63" x14ac:dyDescent="0.25">
      <c r="A12" s="433">
        <v>6</v>
      </c>
      <c r="B12" s="446" t="s">
        <v>229</v>
      </c>
      <c r="C12" s="431" t="s">
        <v>232</v>
      </c>
      <c r="D12" s="366" t="s">
        <v>244</v>
      </c>
      <c r="E12" s="445">
        <v>60</v>
      </c>
      <c r="F12" s="371">
        <f>'[2]PL1b_Don gia cong'!J9</f>
        <v>1242000</v>
      </c>
      <c r="G12" s="371">
        <f t="shared" si="0"/>
        <v>74520000</v>
      </c>
    </row>
    <row r="13" spans="1:7" ht="16.5" customHeight="1" x14ac:dyDescent="0.25">
      <c r="A13" s="417" t="s">
        <v>7</v>
      </c>
      <c r="B13" s="454" t="s">
        <v>233</v>
      </c>
      <c r="C13" s="455"/>
      <c r="D13" s="365"/>
      <c r="E13" s="443"/>
      <c r="F13" s="444"/>
      <c r="G13" s="436">
        <f>SUM(G14:G16)</f>
        <v>409861680</v>
      </c>
    </row>
    <row r="14" spans="1:7" ht="49.5" x14ac:dyDescent="0.25">
      <c r="A14" s="447">
        <v>1</v>
      </c>
      <c r="B14" s="432" t="s">
        <v>250</v>
      </c>
      <c r="C14" s="448" t="s">
        <v>251</v>
      </c>
      <c r="D14" s="366" t="s">
        <v>248</v>
      </c>
      <c r="E14" s="443">
        <v>50</v>
      </c>
      <c r="F14" s="444">
        <f>'[2]PL1b_Don gia cong'!H9</f>
        <v>1011000</v>
      </c>
      <c r="G14" s="444">
        <f>F14*E14</f>
        <v>50550000</v>
      </c>
    </row>
    <row r="15" spans="1:7" s="369" customFormat="1" ht="63" x14ac:dyDescent="0.25">
      <c r="A15" s="433">
        <v>2</v>
      </c>
      <c r="B15" s="432" t="s">
        <v>252</v>
      </c>
      <c r="C15" s="449" t="s">
        <v>253</v>
      </c>
      <c r="D15" s="366" t="s">
        <v>247</v>
      </c>
      <c r="E15" s="443">
        <v>60</v>
      </c>
      <c r="F15" s="444">
        <f>'[2]PL1b_Don gia cong'!I9</f>
        <v>1202000</v>
      </c>
      <c r="G15" s="444">
        <f>F15*E15</f>
        <v>72120000</v>
      </c>
    </row>
    <row r="16" spans="1:7" s="369" customFormat="1" ht="47.25" x14ac:dyDescent="0.25">
      <c r="A16" s="433">
        <v>3</v>
      </c>
      <c r="B16" s="432" t="s">
        <v>254</v>
      </c>
      <c r="C16" s="449" t="s">
        <v>255</v>
      </c>
      <c r="D16" s="450" t="s">
        <v>256</v>
      </c>
      <c r="E16" s="443">
        <v>2</v>
      </c>
      <c r="F16" s="444">
        <f>'[2]Ban do'!R7</f>
        <v>143595840</v>
      </c>
      <c r="G16" s="444">
        <f>F16*E16</f>
        <v>287191680</v>
      </c>
    </row>
    <row r="17" spans="1:7" s="369" customFormat="1" x14ac:dyDescent="0.25">
      <c r="A17" s="350" t="s">
        <v>15</v>
      </c>
      <c r="B17" s="368" t="s">
        <v>196</v>
      </c>
      <c r="C17" s="367"/>
      <c r="D17" s="365"/>
      <c r="E17" s="440"/>
      <c r="F17" s="451"/>
      <c r="G17" s="452">
        <f>SUM(G18:G19)</f>
        <v>25220000</v>
      </c>
    </row>
    <row r="18" spans="1:7" s="369" customFormat="1" ht="78.75" x14ac:dyDescent="0.25">
      <c r="A18" s="433">
        <v>1</v>
      </c>
      <c r="B18" s="432" t="s">
        <v>234</v>
      </c>
      <c r="C18" s="432" t="s">
        <v>236</v>
      </c>
      <c r="D18" s="366" t="s">
        <v>257</v>
      </c>
      <c r="E18" s="440">
        <v>1</v>
      </c>
      <c r="F18" s="441">
        <v>5000000</v>
      </c>
      <c r="G18" s="441">
        <f>F18*E18</f>
        <v>5000000</v>
      </c>
    </row>
    <row r="19" spans="1:7" s="369" customFormat="1" ht="63" x14ac:dyDescent="0.25">
      <c r="A19" s="433">
        <v>2</v>
      </c>
      <c r="B19" s="432" t="s">
        <v>235</v>
      </c>
      <c r="C19" s="432" t="s">
        <v>235</v>
      </c>
      <c r="D19" s="366" t="s">
        <v>248</v>
      </c>
      <c r="E19" s="440">
        <v>20</v>
      </c>
      <c r="F19" s="441">
        <f>'[2]PL1b_Don gia cong'!H9</f>
        <v>1011000</v>
      </c>
      <c r="G19" s="441">
        <f>F19*E19</f>
        <v>20220000</v>
      </c>
    </row>
    <row r="20" spans="1:7" x14ac:dyDescent="0.25">
      <c r="A20" s="352"/>
      <c r="B20" s="353"/>
      <c r="C20" s="354" t="s">
        <v>69</v>
      </c>
      <c r="D20" s="370"/>
      <c r="E20" s="440"/>
      <c r="F20" s="441"/>
      <c r="G20" s="441"/>
    </row>
    <row r="21" spans="1:7" x14ac:dyDescent="0.25">
      <c r="A21" s="352"/>
      <c r="B21" s="353"/>
      <c r="C21" s="354" t="s">
        <v>70</v>
      </c>
      <c r="D21" s="372"/>
      <c r="E21" s="453"/>
      <c r="F21" s="441"/>
      <c r="G21" s="441"/>
    </row>
    <row r="22" spans="1:7" x14ac:dyDescent="0.25">
      <c r="D22" s="124"/>
    </row>
    <row r="23" spans="1:7" x14ac:dyDescent="0.25">
      <c r="D23" s="373"/>
    </row>
  </sheetData>
  <mergeCells count="1">
    <mergeCell ref="A1:C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18"/>
  <sheetViews>
    <sheetView topLeftCell="A4" workbookViewId="0">
      <selection activeCell="B5" sqref="B5"/>
    </sheetView>
  </sheetViews>
  <sheetFormatPr defaultColWidth="9" defaultRowHeight="15.75" x14ac:dyDescent="0.25"/>
  <cols>
    <col min="1" max="1" width="7.42578125" style="461" customWidth="1"/>
    <col min="2" max="2" width="24.5703125" style="461" customWidth="1"/>
    <col min="3" max="3" width="34" style="461" customWidth="1"/>
    <col min="4" max="4" width="17.28515625" style="461" customWidth="1"/>
    <col min="5" max="5" width="10.42578125" style="461" customWidth="1"/>
    <col min="6" max="6" width="10.42578125" style="461" bestFit="1" customWidth="1"/>
    <col min="7" max="7" width="12" style="461" customWidth="1"/>
    <col min="8" max="8" width="12.42578125" style="461" customWidth="1"/>
    <col min="9" max="9" width="16" style="461" customWidth="1"/>
    <col min="10" max="10" width="9" style="356"/>
    <col min="11" max="11" width="10.85546875" style="355" customWidth="1"/>
    <col min="12" max="12" width="11.42578125" style="356" customWidth="1"/>
    <col min="13" max="16384" width="9" style="461"/>
  </cols>
  <sheetData>
    <row r="1" spans="1:12" x14ac:dyDescent="0.25">
      <c r="A1" s="307"/>
      <c r="B1" s="308"/>
      <c r="C1" s="316"/>
      <c r="D1" s="308"/>
      <c r="E1" s="308"/>
      <c r="F1" s="475"/>
      <c r="G1" s="307"/>
      <c r="H1" s="476"/>
      <c r="I1" s="308"/>
      <c r="J1" s="308"/>
    </row>
    <row r="2" spans="1:12" x14ac:dyDescent="0.25">
      <c r="A2" s="1139" t="s">
        <v>161</v>
      </c>
      <c r="B2" s="1139"/>
      <c r="C2" s="1139"/>
      <c r="D2" s="1139"/>
      <c r="E2" s="1139"/>
      <c r="F2" s="1139"/>
      <c r="G2" s="1139"/>
      <c r="H2" s="1139"/>
      <c r="I2" s="1139"/>
      <c r="J2" s="308"/>
    </row>
    <row r="3" spans="1:12" ht="33" customHeight="1" x14ac:dyDescent="0.25">
      <c r="A3" s="477" t="s">
        <v>175</v>
      </c>
      <c r="B3" s="477"/>
      <c r="C3" s="477"/>
      <c r="D3" s="477"/>
      <c r="E3" s="477"/>
      <c r="F3" s="477"/>
      <c r="G3" s="477"/>
      <c r="H3" s="477"/>
      <c r="I3" s="477"/>
      <c r="J3" s="308"/>
    </row>
    <row r="4" spans="1:12" ht="78.75" x14ac:dyDescent="0.25">
      <c r="A4" s="305"/>
      <c r="B4" s="305" t="s">
        <v>162</v>
      </c>
      <c r="C4" s="305" t="s">
        <v>163</v>
      </c>
      <c r="D4" s="305" t="s">
        <v>164</v>
      </c>
      <c r="E4" s="305" t="s">
        <v>165</v>
      </c>
      <c r="F4" s="310" t="s">
        <v>166</v>
      </c>
      <c r="G4" s="311" t="s">
        <v>167</v>
      </c>
      <c r="H4" s="325" t="s">
        <v>168</v>
      </c>
      <c r="I4" s="305" t="s">
        <v>169</v>
      </c>
      <c r="J4" s="26" t="s">
        <v>78</v>
      </c>
      <c r="K4" s="336" t="s">
        <v>72</v>
      </c>
      <c r="L4" s="327" t="s">
        <v>75</v>
      </c>
    </row>
    <row r="5" spans="1:12" ht="43.5" customHeight="1" x14ac:dyDescent="0.25">
      <c r="A5" s="306">
        <v>1</v>
      </c>
      <c r="B5" s="332" t="s">
        <v>174</v>
      </c>
      <c r="C5" s="312" t="s">
        <v>178</v>
      </c>
      <c r="D5" s="306" t="s">
        <v>170</v>
      </c>
      <c r="E5" s="306">
        <v>2</v>
      </c>
      <c r="F5" s="313">
        <v>0.55000000000000004</v>
      </c>
      <c r="G5" s="306">
        <v>427</v>
      </c>
      <c r="H5" s="328">
        <v>19.40909090909091</v>
      </c>
      <c r="I5" s="314">
        <v>254577400</v>
      </c>
      <c r="J5" s="357" t="e">
        <f>SUMIF(#REF!,'Tong hop cong AL'!B5,#REF!)</f>
        <v>#REF!</v>
      </c>
      <c r="K5" s="358" t="e">
        <f>J5/22</f>
        <v>#REF!</v>
      </c>
      <c r="L5" s="357" t="e">
        <f>J5*8</f>
        <v>#REF!</v>
      </c>
    </row>
    <row r="6" spans="1:12" ht="43.5" customHeight="1" x14ac:dyDescent="0.25">
      <c r="A6" s="320">
        <v>2</v>
      </c>
      <c r="B6" s="321" t="s">
        <v>176</v>
      </c>
      <c r="C6" s="322" t="s">
        <v>179</v>
      </c>
      <c r="D6" s="320" t="s">
        <v>171</v>
      </c>
      <c r="E6" s="320">
        <v>1.5</v>
      </c>
      <c r="F6" s="323">
        <v>0.34</v>
      </c>
      <c r="G6" s="320">
        <v>144</v>
      </c>
      <c r="H6" s="329">
        <v>6.5454545454545459</v>
      </c>
      <c r="I6" s="324">
        <v>43480800</v>
      </c>
      <c r="J6" s="357" t="e">
        <f>SUMIF(#REF!,'Tong hop cong AL'!B6,#REF!)</f>
        <v>#REF!</v>
      </c>
      <c r="K6" s="358" t="e">
        <f t="shared" ref="K6:K16" si="0">J6/22</f>
        <v>#REF!</v>
      </c>
      <c r="L6" s="357" t="e">
        <f t="shared" ref="L6:L16" si="1">J6*8</f>
        <v>#REF!</v>
      </c>
    </row>
    <row r="7" spans="1:12" ht="43.5" customHeight="1" x14ac:dyDescent="0.25">
      <c r="A7" s="306">
        <v>3</v>
      </c>
      <c r="B7" s="321" t="s">
        <v>177</v>
      </c>
      <c r="C7" s="322" t="s">
        <v>179</v>
      </c>
      <c r="D7" s="320" t="s">
        <v>114</v>
      </c>
      <c r="E7" s="320">
        <v>1.5</v>
      </c>
      <c r="F7" s="323">
        <v>0.34</v>
      </c>
      <c r="G7" s="320">
        <v>103</v>
      </c>
      <c r="H7" s="329">
        <v>55</v>
      </c>
      <c r="I7" s="324">
        <v>33905025</v>
      </c>
      <c r="J7" s="357" t="e">
        <f>SUMIF(#REF!,'Tong hop cong AL'!B7,#REF!)</f>
        <v>#REF!</v>
      </c>
      <c r="K7" s="358" t="e">
        <f t="shared" si="0"/>
        <v>#REF!</v>
      </c>
      <c r="L7" s="357" t="e">
        <f t="shared" si="1"/>
        <v>#REF!</v>
      </c>
    </row>
    <row r="8" spans="1:12" ht="43.5" customHeight="1" x14ac:dyDescent="0.25">
      <c r="A8" s="320">
        <v>4</v>
      </c>
      <c r="B8" s="321" t="s">
        <v>172</v>
      </c>
      <c r="C8" s="322" t="s">
        <v>179</v>
      </c>
      <c r="D8" s="320" t="s">
        <v>114</v>
      </c>
      <c r="E8" s="320">
        <v>1.5</v>
      </c>
      <c r="F8" s="323">
        <v>0.34</v>
      </c>
      <c r="G8" s="320">
        <v>104</v>
      </c>
      <c r="H8" s="329">
        <v>4.7272727272727275</v>
      </c>
      <c r="I8" s="324">
        <v>31402800</v>
      </c>
      <c r="J8" s="357" t="e">
        <f>SUMIF(#REF!,'Tong hop cong AL'!B8,#REF!)</f>
        <v>#REF!</v>
      </c>
      <c r="K8" s="358" t="e">
        <f t="shared" si="0"/>
        <v>#REF!</v>
      </c>
      <c r="L8" s="357" t="e">
        <f t="shared" si="1"/>
        <v>#REF!</v>
      </c>
    </row>
    <row r="9" spans="1:12" ht="43.5" customHeight="1" x14ac:dyDescent="0.25">
      <c r="A9" s="306">
        <v>5</v>
      </c>
      <c r="B9" s="321" t="s">
        <v>180</v>
      </c>
      <c r="C9" s="322" t="s">
        <v>179</v>
      </c>
      <c r="D9" s="320" t="s">
        <v>114</v>
      </c>
      <c r="E9" s="320">
        <v>1.5</v>
      </c>
      <c r="F9" s="323">
        <v>0.34</v>
      </c>
      <c r="G9" s="320">
        <v>135</v>
      </c>
      <c r="H9" s="329">
        <v>6.1363636363636367</v>
      </c>
      <c r="I9" s="324">
        <v>37087875</v>
      </c>
      <c r="J9" s="357" t="e">
        <f>SUMIF(#REF!,'Tong hop cong AL'!B9,#REF!)</f>
        <v>#REF!</v>
      </c>
      <c r="K9" s="358" t="e">
        <f t="shared" si="0"/>
        <v>#REF!</v>
      </c>
      <c r="L9" s="357" t="e">
        <f t="shared" si="1"/>
        <v>#REF!</v>
      </c>
    </row>
    <row r="10" spans="1:12" ht="43.5" customHeight="1" x14ac:dyDescent="0.25">
      <c r="A10" s="320">
        <v>6</v>
      </c>
      <c r="B10" s="315" t="s">
        <v>222</v>
      </c>
      <c r="C10" s="322" t="s">
        <v>179</v>
      </c>
      <c r="D10" s="320" t="s">
        <v>114</v>
      </c>
      <c r="E10" s="320">
        <v>1.5</v>
      </c>
      <c r="F10" s="323">
        <v>0.34</v>
      </c>
      <c r="G10" s="320">
        <v>232</v>
      </c>
      <c r="H10" s="329">
        <v>10.545454545454545</v>
      </c>
      <c r="I10" s="324">
        <v>51103800</v>
      </c>
      <c r="J10" s="357" t="e">
        <f>SUMIF(#REF!,'Tong hop cong AL'!B10,#REF!)</f>
        <v>#REF!</v>
      </c>
      <c r="K10" s="358" t="e">
        <f t="shared" si="0"/>
        <v>#REF!</v>
      </c>
      <c r="L10" s="357" t="e">
        <f t="shared" si="1"/>
        <v>#REF!</v>
      </c>
    </row>
    <row r="11" spans="1:12" ht="43.5" customHeight="1" x14ac:dyDescent="0.25">
      <c r="A11" s="306">
        <v>7</v>
      </c>
      <c r="B11" s="321" t="s">
        <v>181</v>
      </c>
      <c r="C11" s="322" t="s">
        <v>179</v>
      </c>
      <c r="D11" s="320" t="s">
        <v>114</v>
      </c>
      <c r="E11" s="320">
        <v>1.5</v>
      </c>
      <c r="F11" s="323">
        <v>0.34</v>
      </c>
      <c r="G11" s="320"/>
      <c r="H11" s="329"/>
      <c r="I11" s="324"/>
      <c r="J11" s="357" t="e">
        <f>SUMIF(#REF!,'Tong hop cong AL'!B11,#REF!)</f>
        <v>#REF!</v>
      </c>
      <c r="K11" s="358" t="e">
        <f t="shared" si="0"/>
        <v>#REF!</v>
      </c>
      <c r="L11" s="357" t="e">
        <f t="shared" si="1"/>
        <v>#REF!</v>
      </c>
    </row>
    <row r="12" spans="1:12" ht="43.5" customHeight="1" x14ac:dyDescent="0.25">
      <c r="A12" s="320">
        <v>8</v>
      </c>
      <c r="B12" s="321" t="s">
        <v>182</v>
      </c>
      <c r="C12" s="322" t="s">
        <v>179</v>
      </c>
      <c r="D12" s="320" t="s">
        <v>114</v>
      </c>
      <c r="E12" s="320">
        <v>1.5</v>
      </c>
      <c r="F12" s="323">
        <v>0.34</v>
      </c>
      <c r="G12" s="320"/>
      <c r="H12" s="329"/>
      <c r="I12" s="324"/>
      <c r="J12" s="357" t="e">
        <f>SUMIF(#REF!,'Tong hop cong AL'!B12,#REF!)</f>
        <v>#REF!</v>
      </c>
      <c r="K12" s="358" t="e">
        <f t="shared" si="0"/>
        <v>#REF!</v>
      </c>
      <c r="L12" s="357" t="e">
        <f t="shared" si="1"/>
        <v>#REF!</v>
      </c>
    </row>
    <row r="13" spans="1:12" ht="43.5" customHeight="1" x14ac:dyDescent="0.25">
      <c r="A13" s="306">
        <v>9</v>
      </c>
      <c r="B13" s="321" t="s">
        <v>184</v>
      </c>
      <c r="C13" s="322" t="s">
        <v>179</v>
      </c>
      <c r="D13" s="320" t="s">
        <v>114</v>
      </c>
      <c r="E13" s="320">
        <v>1.5</v>
      </c>
      <c r="F13" s="323">
        <v>0.34</v>
      </c>
      <c r="G13" s="320"/>
      <c r="H13" s="329"/>
      <c r="I13" s="324"/>
      <c r="J13" s="357" t="e">
        <f>SUMIF(#REF!,'Tong hop cong AL'!B13,#REF!)</f>
        <v>#REF!</v>
      </c>
      <c r="K13" s="358" t="e">
        <f t="shared" si="0"/>
        <v>#REF!</v>
      </c>
      <c r="L13" s="357" t="e">
        <f t="shared" si="1"/>
        <v>#REF!</v>
      </c>
    </row>
    <row r="14" spans="1:12" ht="43.5" customHeight="1" x14ac:dyDescent="0.25">
      <c r="A14" s="320">
        <v>10</v>
      </c>
      <c r="B14" s="321" t="s">
        <v>187</v>
      </c>
      <c r="C14" s="322" t="s">
        <v>179</v>
      </c>
      <c r="D14" s="320" t="s">
        <v>114</v>
      </c>
      <c r="E14" s="320">
        <v>1.5</v>
      </c>
      <c r="F14" s="323">
        <v>0.34</v>
      </c>
      <c r="G14" s="320"/>
      <c r="H14" s="329"/>
      <c r="I14" s="324"/>
      <c r="J14" s="357" t="e">
        <f>SUMIF(#REF!,'Tong hop cong AL'!B14,#REF!)</f>
        <v>#REF!</v>
      </c>
      <c r="K14" s="358" t="e">
        <f t="shared" si="0"/>
        <v>#REF!</v>
      </c>
      <c r="L14" s="357" t="e">
        <f t="shared" si="1"/>
        <v>#REF!</v>
      </c>
    </row>
    <row r="15" spans="1:12" ht="43.5" customHeight="1" x14ac:dyDescent="0.25">
      <c r="A15" s="306">
        <v>11</v>
      </c>
      <c r="B15" s="315" t="s">
        <v>183</v>
      </c>
      <c r="C15" s="322" t="s">
        <v>185</v>
      </c>
      <c r="D15" s="320" t="s">
        <v>114</v>
      </c>
      <c r="E15" s="320">
        <v>1.5</v>
      </c>
      <c r="F15" s="323">
        <v>0.34</v>
      </c>
      <c r="G15" s="320"/>
      <c r="H15" s="329"/>
      <c r="I15" s="324"/>
      <c r="J15" s="357" t="e">
        <f>SUMIF(#REF!,'Tong hop cong AL'!B15,#REF!)</f>
        <v>#REF!</v>
      </c>
      <c r="K15" s="358" t="e">
        <f t="shared" si="0"/>
        <v>#REF!</v>
      </c>
      <c r="L15" s="357" t="e">
        <f t="shared" si="1"/>
        <v>#REF!</v>
      </c>
    </row>
    <row r="16" spans="1:12" ht="43.5" customHeight="1" x14ac:dyDescent="0.25">
      <c r="A16" s="320">
        <v>12</v>
      </c>
      <c r="B16" s="321" t="s">
        <v>186</v>
      </c>
      <c r="C16" s="322" t="s">
        <v>185</v>
      </c>
      <c r="D16" s="320" t="s">
        <v>114</v>
      </c>
      <c r="E16" s="320">
        <v>1.5</v>
      </c>
      <c r="F16" s="323">
        <v>0.34</v>
      </c>
      <c r="G16" s="320">
        <v>151</v>
      </c>
      <c r="H16" s="329">
        <v>6.8636363636363633</v>
      </c>
      <c r="I16" s="324">
        <v>45594450</v>
      </c>
      <c r="J16" s="357" t="e">
        <f>SUMIF(#REF!,'Tong hop cong AL'!B16,#REF!)</f>
        <v>#REF!</v>
      </c>
      <c r="K16" s="358" t="e">
        <f t="shared" si="0"/>
        <v>#REF!</v>
      </c>
      <c r="L16" s="357" t="e">
        <f t="shared" si="1"/>
        <v>#REF!</v>
      </c>
    </row>
    <row r="17" spans="1:12" ht="40.5" customHeight="1" x14ac:dyDescent="0.25">
      <c r="A17" s="317" t="s">
        <v>173</v>
      </c>
      <c r="B17" s="309"/>
      <c r="C17" s="316"/>
      <c r="D17" s="309"/>
      <c r="E17" s="309"/>
      <c r="F17" s="318"/>
      <c r="G17" s="307"/>
      <c r="H17" s="326"/>
      <c r="I17" s="319"/>
      <c r="K17" s="355" t="s">
        <v>220</v>
      </c>
      <c r="L17" s="426" t="e">
        <f>MAX(K5:K16)</f>
        <v>#REF!</v>
      </c>
    </row>
    <row r="18" spans="1:12" x14ac:dyDescent="0.25">
      <c r="K18" s="355" t="s">
        <v>221</v>
      </c>
      <c r="L18" s="426" t="e">
        <f>MIN(K5:K16)</f>
        <v>#REF!</v>
      </c>
    </row>
  </sheetData>
  <mergeCells count="1">
    <mergeCell ref="A2:I2"/>
  </mergeCells>
  <hyperlinks>
    <hyperlink ref="G4" location="_ftn1" display="_ftn1" xr:uid="{00000000-0004-0000-1100-000000000000}"/>
    <hyperlink ref="A17" location="_ftnref1" display="_ftnref1" xr:uid="{00000000-0004-0000-1100-000001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topLeftCell="A7" workbookViewId="0">
      <selection activeCell="J9" sqref="J9"/>
    </sheetView>
  </sheetViews>
  <sheetFormatPr defaultRowHeight="15" x14ac:dyDescent="0.25"/>
  <cols>
    <col min="1" max="1" width="5.7109375" style="9" customWidth="1"/>
    <col min="2" max="2" width="47.42578125" style="29" customWidth="1"/>
    <col min="3" max="3" width="11.5703125" style="30" customWidth="1"/>
    <col min="4" max="5" width="12.7109375" style="31" customWidth="1"/>
    <col min="6" max="6" width="12.28515625" style="31" customWidth="1"/>
    <col min="7" max="7" width="15.7109375" style="31" hidden="1" customWidth="1"/>
    <col min="8" max="8" width="15.28515625" bestFit="1" customWidth="1"/>
    <col min="9" max="9" width="12" customWidth="1"/>
    <col min="11" max="11" width="17.28515625" customWidth="1"/>
  </cols>
  <sheetData>
    <row r="1" spans="1:11" ht="42" customHeight="1" x14ac:dyDescent="0.25">
      <c r="A1" s="1001" t="s">
        <v>25</v>
      </c>
      <c r="B1" s="1001"/>
      <c r="C1" s="1001"/>
      <c r="D1" s="1001"/>
      <c r="E1" s="1001"/>
      <c r="F1" s="160"/>
      <c r="G1" s="160"/>
    </row>
    <row r="2" spans="1:11" s="35" customFormat="1" ht="39" customHeight="1" x14ac:dyDescent="0.3">
      <c r="A2" s="1005" t="s">
        <v>150</v>
      </c>
      <c r="B2" s="1005"/>
      <c r="C2" s="1005"/>
      <c r="D2" s="1005"/>
      <c r="E2" s="1005"/>
      <c r="F2" s="40"/>
      <c r="G2" s="40"/>
      <c r="H2" s="40"/>
      <c r="I2" s="40"/>
    </row>
    <row r="3" spans="1:11" s="47" customFormat="1" ht="24.75" customHeight="1" x14ac:dyDescent="0.3">
      <c r="A3" s="45"/>
      <c r="B3" s="45"/>
      <c r="C3" s="45"/>
      <c r="D3" s="1004" t="s">
        <v>20</v>
      </c>
      <c r="E3" s="1004"/>
      <c r="F3" s="159"/>
      <c r="G3" s="45"/>
      <c r="H3" s="46"/>
      <c r="I3" s="46"/>
    </row>
    <row r="4" spans="1:11" ht="30" customHeight="1" x14ac:dyDescent="0.25">
      <c r="A4" s="2" t="s">
        <v>0</v>
      </c>
      <c r="B4" s="26" t="s">
        <v>1</v>
      </c>
      <c r="C4" s="26" t="s">
        <v>2</v>
      </c>
      <c r="D4" s="27" t="s">
        <v>3</v>
      </c>
      <c r="E4" s="27" t="s">
        <v>26</v>
      </c>
      <c r="G4" s="27" t="s">
        <v>13</v>
      </c>
    </row>
    <row r="5" spans="1:11" ht="30" customHeight="1" x14ac:dyDescent="0.25">
      <c r="A5" s="18" t="s">
        <v>4</v>
      </c>
      <c r="B5" s="301" t="s">
        <v>17</v>
      </c>
      <c r="C5" s="13"/>
      <c r="D5" s="28"/>
      <c r="E5" s="21">
        <f>E6</f>
        <v>281200000</v>
      </c>
      <c r="G5" s="17"/>
    </row>
    <row r="6" spans="1:11" s="32" customFormat="1" ht="43.5" customHeight="1" x14ac:dyDescent="0.25">
      <c r="A6" s="2">
        <v>1</v>
      </c>
      <c r="B6" s="1" t="s">
        <v>8</v>
      </c>
      <c r="C6" s="3"/>
      <c r="D6" s="6"/>
      <c r="E6" s="42">
        <f>E7+E12+E17</f>
        <v>281200000</v>
      </c>
      <c r="G6" s="6"/>
      <c r="K6" s="22"/>
    </row>
    <row r="7" spans="1:11" s="44" customFormat="1" ht="25.5" customHeight="1" x14ac:dyDescent="0.25">
      <c r="A7" s="12" t="s">
        <v>44</v>
      </c>
      <c r="B7" s="197" t="s">
        <v>127</v>
      </c>
      <c r="C7" s="198"/>
      <c r="D7" s="199"/>
      <c r="E7" s="200">
        <f>SUM(E8:E11)</f>
        <v>69100000</v>
      </c>
      <c r="G7" s="199"/>
      <c r="K7" s="201"/>
    </row>
    <row r="8" spans="1:11" s="32" customFormat="1" ht="15" customHeight="1" x14ac:dyDescent="0.25">
      <c r="A8" s="13"/>
      <c r="B8" s="7" t="s">
        <v>137</v>
      </c>
      <c r="C8" s="3">
        <v>400</v>
      </c>
      <c r="D8" s="6">
        <v>10000</v>
      </c>
      <c r="E8" s="4">
        <f>+C8*D8</f>
        <v>4000000</v>
      </c>
      <c r="G8" s="6"/>
      <c r="I8" s="32">
        <f>42000-41814</f>
        <v>186</v>
      </c>
      <c r="K8" s="22"/>
    </row>
    <row r="9" spans="1:11" s="32" customFormat="1" ht="15" customHeight="1" x14ac:dyDescent="0.25">
      <c r="A9" s="13"/>
      <c r="B9" s="202" t="s">
        <v>14</v>
      </c>
      <c r="C9" s="203">
        <v>7</v>
      </c>
      <c r="D9" s="205">
        <v>5200000</v>
      </c>
      <c r="E9" s="205">
        <f>+C9*D9</f>
        <v>36400000</v>
      </c>
      <c r="G9" s="6"/>
      <c r="K9" s="22"/>
    </row>
    <row r="10" spans="1:11" s="32" customFormat="1" ht="15" customHeight="1" x14ac:dyDescent="0.25">
      <c r="A10" s="192"/>
      <c r="B10" s="202" t="s">
        <v>130</v>
      </c>
      <c r="C10" s="203">
        <f>7*6</f>
        <v>42</v>
      </c>
      <c r="D10" s="204">
        <v>450000</v>
      </c>
      <c r="E10" s="205">
        <f>+C10*D10</f>
        <v>18900000</v>
      </c>
      <c r="F10" s="206"/>
      <c r="G10" s="6"/>
      <c r="H10" s="33" t="e">
        <f>#REF!+#REF!+#REF!</f>
        <v>#REF!</v>
      </c>
      <c r="I10" s="32">
        <f>24000-23881</f>
        <v>119</v>
      </c>
      <c r="K10" s="22"/>
    </row>
    <row r="11" spans="1:11" s="32" customFormat="1" ht="15" customHeight="1" x14ac:dyDescent="0.25">
      <c r="A11" s="192"/>
      <c r="B11" s="193" t="s">
        <v>131</v>
      </c>
      <c r="C11" s="203">
        <f>7*7</f>
        <v>49</v>
      </c>
      <c r="D11" s="205">
        <v>200000</v>
      </c>
      <c r="E11" s="205">
        <f>+C11*D11</f>
        <v>9800000</v>
      </c>
      <c r="F11" s="206"/>
      <c r="G11" s="4"/>
      <c r="H11" s="33" t="e">
        <f>#REF!+#REF!</f>
        <v>#REF!</v>
      </c>
      <c r="I11" s="32">
        <f>I10+I8</f>
        <v>305</v>
      </c>
      <c r="K11" s="22"/>
    </row>
    <row r="12" spans="1:11" s="44" customFormat="1" ht="30" customHeight="1" x14ac:dyDescent="0.25">
      <c r="A12" s="207" t="s">
        <v>45</v>
      </c>
      <c r="B12" s="208" t="s">
        <v>128</v>
      </c>
      <c r="C12" s="209"/>
      <c r="D12" s="210"/>
      <c r="E12" s="211">
        <f>+SUM(E13:E16)</f>
        <v>74500000</v>
      </c>
      <c r="F12" s="196"/>
      <c r="G12" s="199"/>
    </row>
    <row r="13" spans="1:11" s="32" customFormat="1" x14ac:dyDescent="0.25">
      <c r="A13" s="192"/>
      <c r="B13" s="202" t="s">
        <v>137</v>
      </c>
      <c r="C13" s="194">
        <v>400</v>
      </c>
      <c r="D13" s="205">
        <v>10000</v>
      </c>
      <c r="E13" s="205">
        <f>+C13*D13</f>
        <v>4000000</v>
      </c>
      <c r="F13" s="212" t="e">
        <f>SUM(#REF!)</f>
        <v>#REF!</v>
      </c>
      <c r="G13" s="4"/>
      <c r="H13" s="33"/>
      <c r="K13" s="156" t="e">
        <f>#REF!+#REF!</f>
        <v>#REF!</v>
      </c>
    </row>
    <row r="14" spans="1:11" s="32" customFormat="1" x14ac:dyDescent="0.25">
      <c r="A14" s="192"/>
      <c r="B14" s="202" t="s">
        <v>14</v>
      </c>
      <c r="C14" s="203">
        <v>7</v>
      </c>
      <c r="D14" s="205">
        <v>5200000</v>
      </c>
      <c r="E14" s="205">
        <f>+C14*D14</f>
        <v>36400000</v>
      </c>
      <c r="F14" s="206"/>
      <c r="G14" s="4"/>
      <c r="K14" s="156" t="e">
        <f>K13/13</f>
        <v>#REF!</v>
      </c>
    </row>
    <row r="15" spans="1:11" s="32" customFormat="1" ht="15" customHeight="1" x14ac:dyDescent="0.25">
      <c r="A15" s="192"/>
      <c r="B15" s="193" t="s">
        <v>132</v>
      </c>
      <c r="C15" s="203">
        <f>7*7</f>
        <v>49</v>
      </c>
      <c r="D15" s="204">
        <v>200000</v>
      </c>
      <c r="E15" s="205">
        <f>+C15*D15</f>
        <v>9800000</v>
      </c>
      <c r="F15" s="206"/>
      <c r="G15" s="6"/>
    </row>
    <row r="16" spans="1:11" s="32" customFormat="1" ht="15" customHeight="1" x14ac:dyDescent="0.25">
      <c r="A16" s="192"/>
      <c r="B16" s="202" t="s">
        <v>133</v>
      </c>
      <c r="C16" s="203">
        <f>9*6</f>
        <v>54</v>
      </c>
      <c r="D16" s="204">
        <v>450000</v>
      </c>
      <c r="E16" s="205">
        <f>+C16*D16</f>
        <v>24300000</v>
      </c>
      <c r="F16" s="206"/>
      <c r="G16" s="6"/>
    </row>
    <row r="17" spans="1:10" s="44" customFormat="1" ht="30" customHeight="1" x14ac:dyDescent="0.25">
      <c r="A17" s="207" t="s">
        <v>87</v>
      </c>
      <c r="B17" s="208" t="s">
        <v>129</v>
      </c>
      <c r="C17" s="209"/>
      <c r="D17" s="210"/>
      <c r="E17" s="211">
        <f>+SUM(E18:E21)</f>
        <v>137600000</v>
      </c>
      <c r="F17" s="195" t="e">
        <f>SUM(F13:F16)</f>
        <v>#REF!</v>
      </c>
      <c r="G17" s="199"/>
    </row>
    <row r="18" spans="1:10" s="32" customFormat="1" x14ac:dyDescent="0.25">
      <c r="A18" s="192"/>
      <c r="B18" s="202" t="s">
        <v>136</v>
      </c>
      <c r="C18" s="194">
        <v>2000</v>
      </c>
      <c r="D18" s="205">
        <v>10000</v>
      </c>
      <c r="E18" s="205">
        <f>+C18*D18</f>
        <v>20000000</v>
      </c>
      <c r="F18" s="206"/>
      <c r="G18" s="4"/>
      <c r="H18" s="33" t="e">
        <f>E17-#REF!-#REF!</f>
        <v>#REF!</v>
      </c>
    </row>
    <row r="19" spans="1:10" s="32" customFormat="1" x14ac:dyDescent="0.25">
      <c r="A19" s="192"/>
      <c r="B19" s="202" t="s">
        <v>14</v>
      </c>
      <c r="C19" s="203">
        <v>7</v>
      </c>
      <c r="D19" s="205">
        <v>7500000</v>
      </c>
      <c r="E19" s="205">
        <f>+C19*D19</f>
        <v>52500000</v>
      </c>
      <c r="F19" s="206"/>
      <c r="G19" s="4"/>
      <c r="H19" s="155">
        <v>41814000</v>
      </c>
    </row>
    <row r="20" spans="1:10" s="32" customFormat="1" ht="15" customHeight="1" x14ac:dyDescent="0.25">
      <c r="A20" s="13"/>
      <c r="B20" s="5" t="s">
        <v>134</v>
      </c>
      <c r="C20" s="3">
        <f>7*15</f>
        <v>105</v>
      </c>
      <c r="D20" s="6">
        <v>200000</v>
      </c>
      <c r="E20" s="4">
        <f>+C20*D20</f>
        <v>21000000</v>
      </c>
      <c r="F20" s="33" t="e">
        <f>#REF!+#REF!</f>
        <v>#REF!</v>
      </c>
      <c r="G20" s="6"/>
      <c r="H20" s="156" t="e">
        <f>H18-H19</f>
        <v>#REF!</v>
      </c>
      <c r="I20" s="32">
        <f>350000*11*6</f>
        <v>23100000</v>
      </c>
      <c r="J20" s="32">
        <f>350*10*6</f>
        <v>21000</v>
      </c>
    </row>
    <row r="21" spans="1:10" s="32" customFormat="1" ht="15" customHeight="1" x14ac:dyDescent="0.25">
      <c r="A21" s="13"/>
      <c r="B21" s="7" t="s">
        <v>135</v>
      </c>
      <c r="C21" s="3">
        <f>7*14</f>
        <v>98</v>
      </c>
      <c r="D21" s="6">
        <v>450000</v>
      </c>
      <c r="E21" s="4">
        <f>+C21*D21</f>
        <v>44100000</v>
      </c>
      <c r="G21" s="6"/>
      <c r="H21" s="156" t="e">
        <f>H20/13000</f>
        <v>#REF!</v>
      </c>
      <c r="I21" s="32">
        <f>450000*3*6</f>
        <v>8100000</v>
      </c>
      <c r="J21" s="32">
        <f>6*3*450</f>
        <v>8100</v>
      </c>
    </row>
    <row r="22" spans="1:10" ht="40.5" customHeight="1" x14ac:dyDescent="0.25">
      <c r="F22" s="31" t="e">
        <f>#REF!+#REF!</f>
        <v>#REF!</v>
      </c>
      <c r="H22" s="156" t="e">
        <f>#REF!-#REF!</f>
        <v>#REF!</v>
      </c>
      <c r="I22" t="e">
        <f>#REF!/1992</f>
        <v>#REF!</v>
      </c>
    </row>
    <row r="23" spans="1:10" x14ac:dyDescent="0.25">
      <c r="H23" s="157" t="e">
        <f>H22/13000</f>
        <v>#REF!</v>
      </c>
    </row>
    <row r="24" spans="1:10" x14ac:dyDescent="0.25">
      <c r="H24" s="32">
        <f>3*450000*6</f>
        <v>8100000</v>
      </c>
    </row>
    <row r="25" spans="1:10" x14ac:dyDescent="0.25">
      <c r="H25">
        <f>1838*13000</f>
        <v>23894000</v>
      </c>
    </row>
  </sheetData>
  <mergeCells count="3">
    <mergeCell ref="D3:E3"/>
    <mergeCell ref="A1:E1"/>
    <mergeCell ref="A2:E2"/>
  </mergeCells>
  <pageMargins left="0.95" right="0.25" top="0.5" bottom="0.2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A1:I25"/>
  <sheetViews>
    <sheetView topLeftCell="A19" workbookViewId="0">
      <selection activeCell="I11" sqref="I11"/>
    </sheetView>
  </sheetViews>
  <sheetFormatPr defaultColWidth="9" defaultRowHeight="15" x14ac:dyDescent="0.25"/>
  <cols>
    <col min="1" max="1" width="5.7109375" style="412" customWidth="1"/>
    <col min="2" max="2" width="46" style="136" customWidth="1"/>
    <col min="3" max="3" width="14.7109375" style="136" customWidth="1"/>
    <col min="4" max="4" width="11.5703125" style="413" customWidth="1"/>
    <col min="5" max="5" width="12.7109375" style="414" customWidth="1"/>
    <col min="6" max="6" width="16.5703125" style="415" customWidth="1"/>
    <col min="7" max="7" width="15.7109375" style="414" customWidth="1"/>
    <col min="8" max="8" width="15.28515625" style="380" bestFit="1" customWidth="1"/>
    <col min="9" max="9" width="12" style="380" customWidth="1"/>
    <col min="10" max="10" width="9" style="380"/>
    <col min="11" max="11" width="17.28515625" style="380" customWidth="1"/>
    <col min="12" max="16384" width="9" style="380"/>
  </cols>
  <sheetData>
    <row r="1" spans="1:9" ht="42" customHeight="1" x14ac:dyDescent="0.25">
      <c r="A1" s="1140" t="s">
        <v>194</v>
      </c>
      <c r="B1" s="1140"/>
      <c r="C1" s="1140"/>
      <c r="D1" s="1140"/>
      <c r="E1" s="1140"/>
      <c r="F1" s="1140"/>
      <c r="G1" s="381"/>
    </row>
    <row r="2" spans="1:9" s="359" customFormat="1" ht="39" customHeight="1" x14ac:dyDescent="0.3">
      <c r="A2" s="1141" t="s">
        <v>150</v>
      </c>
      <c r="B2" s="1141"/>
      <c r="C2" s="1141"/>
      <c r="D2" s="1141"/>
      <c r="E2" s="1141"/>
      <c r="F2" s="1141"/>
      <c r="G2" s="382"/>
      <c r="H2" s="382"/>
      <c r="I2" s="382"/>
    </row>
    <row r="3" spans="1:9" s="385" customFormat="1" ht="24.75" customHeight="1" x14ac:dyDescent="0.3">
      <c r="A3" s="383"/>
      <c r="B3" s="383"/>
      <c r="C3" s="383"/>
      <c r="D3" s="383"/>
      <c r="E3" s="1142" t="s">
        <v>20</v>
      </c>
      <c r="F3" s="1142"/>
      <c r="G3" s="383"/>
      <c r="H3" s="384"/>
      <c r="I3" s="384"/>
    </row>
    <row r="4" spans="1:9" ht="30" customHeight="1" x14ac:dyDescent="0.25">
      <c r="A4" s="386" t="s">
        <v>0</v>
      </c>
      <c r="B4" s="351" t="s">
        <v>1</v>
      </c>
      <c r="C4" s="351" t="s">
        <v>199</v>
      </c>
      <c r="D4" s="351" t="s">
        <v>2</v>
      </c>
      <c r="E4" s="387" t="s">
        <v>3</v>
      </c>
      <c r="F4" s="343" t="s">
        <v>26</v>
      </c>
      <c r="G4" s="387" t="s">
        <v>21</v>
      </c>
    </row>
    <row r="5" spans="1:9" ht="30" customHeight="1" x14ac:dyDescent="0.25">
      <c r="A5" s="386" t="s">
        <v>4</v>
      </c>
      <c r="B5" s="388" t="s">
        <v>17</v>
      </c>
      <c r="C5" s="388"/>
      <c r="D5" s="228"/>
      <c r="E5" s="389"/>
      <c r="F5" s="390">
        <f>F6+F7+F11</f>
        <v>229550000</v>
      </c>
      <c r="G5" s="391"/>
    </row>
    <row r="6" spans="1:9" ht="30" customHeight="1" x14ac:dyDescent="0.25">
      <c r="A6" s="386" t="s">
        <v>5</v>
      </c>
      <c r="B6" s="388" t="s">
        <v>200</v>
      </c>
      <c r="C6" s="418" t="s">
        <v>201</v>
      </c>
      <c r="D6" s="418">
        <v>1</v>
      </c>
      <c r="E6" s="42">
        <v>500000</v>
      </c>
      <c r="F6" s="337">
        <f>D6*E6</f>
        <v>500000</v>
      </c>
      <c r="G6" s="391"/>
    </row>
    <row r="7" spans="1:9" ht="65.25" customHeight="1" x14ac:dyDescent="0.25">
      <c r="A7" s="386" t="s">
        <v>6</v>
      </c>
      <c r="B7" s="388" t="s">
        <v>212</v>
      </c>
      <c r="C7" s="388"/>
      <c r="D7" s="392"/>
      <c r="E7" s="393"/>
      <c r="F7" s="337">
        <f>SUM(F8:F10)</f>
        <v>45500000</v>
      </c>
      <c r="G7" s="393"/>
    </row>
    <row r="8" spans="1:9" ht="37.5" customHeight="1" x14ac:dyDescent="0.25">
      <c r="A8" s="228"/>
      <c r="B8" s="330" t="s">
        <v>190</v>
      </c>
      <c r="C8" s="330"/>
      <c r="D8" s="394">
        <v>5</v>
      </c>
      <c r="E8" s="43">
        <v>5000000</v>
      </c>
      <c r="F8" s="395">
        <f>E8*D8</f>
        <v>25000000</v>
      </c>
      <c r="G8" s="393"/>
    </row>
    <row r="9" spans="1:9" ht="23.25" customHeight="1" x14ac:dyDescent="0.25">
      <c r="A9" s="396"/>
      <c r="B9" s="330" t="s">
        <v>191</v>
      </c>
      <c r="C9" s="330"/>
      <c r="D9" s="394">
        <f>5*6</f>
        <v>30</v>
      </c>
      <c r="E9" s="41">
        <v>450000</v>
      </c>
      <c r="F9" s="395">
        <f>+D9*E9</f>
        <v>13500000</v>
      </c>
      <c r="G9" s="393"/>
      <c r="H9" s="397"/>
    </row>
    <row r="10" spans="1:9" ht="23.25" customHeight="1" x14ac:dyDescent="0.25">
      <c r="A10" s="396"/>
      <c r="B10" s="398" t="s">
        <v>192</v>
      </c>
      <c r="C10" s="398"/>
      <c r="D10" s="394">
        <f>5*7</f>
        <v>35</v>
      </c>
      <c r="E10" s="43">
        <v>200000</v>
      </c>
      <c r="F10" s="395">
        <f>+D10*E10</f>
        <v>7000000</v>
      </c>
      <c r="G10" s="231"/>
      <c r="H10" s="397"/>
    </row>
    <row r="11" spans="1:9" ht="81" customHeight="1" x14ac:dyDescent="0.25">
      <c r="A11" s="386" t="s">
        <v>211</v>
      </c>
      <c r="B11" s="388" t="s">
        <v>213</v>
      </c>
      <c r="C11" s="388"/>
      <c r="D11" s="228"/>
      <c r="E11" s="389"/>
      <c r="F11" s="390">
        <f>F12+F17+F21</f>
        <v>183550000</v>
      </c>
      <c r="G11" s="333"/>
      <c r="H11" s="399"/>
    </row>
    <row r="12" spans="1:9" ht="90" x14ac:dyDescent="0.25">
      <c r="A12" s="386">
        <v>1</v>
      </c>
      <c r="B12" s="330" t="s">
        <v>218</v>
      </c>
      <c r="C12" s="394"/>
      <c r="D12" s="394"/>
      <c r="E12" s="43"/>
      <c r="F12" s="400">
        <f>SUM(F13:F16)</f>
        <v>87950000</v>
      </c>
      <c r="G12" s="334"/>
    </row>
    <row r="13" spans="1:9" ht="15.75" x14ac:dyDescent="0.25">
      <c r="A13" s="396"/>
      <c r="B13" s="330" t="s">
        <v>202</v>
      </c>
      <c r="C13" s="394" t="s">
        <v>203</v>
      </c>
      <c r="D13" s="41">
        <f>7*12</f>
        <v>84</v>
      </c>
      <c r="E13" s="43">
        <v>200000</v>
      </c>
      <c r="F13" s="401">
        <f>D13*E13</f>
        <v>16800000</v>
      </c>
      <c r="G13" s="335"/>
    </row>
    <row r="14" spans="1:9" ht="15.75" x14ac:dyDescent="0.25">
      <c r="A14" s="396"/>
      <c r="B14" s="398" t="s">
        <v>204</v>
      </c>
      <c r="C14" s="394" t="s">
        <v>205</v>
      </c>
      <c r="D14" s="43">
        <f>7*11</f>
        <v>77</v>
      </c>
      <c r="E14" s="43">
        <v>450000</v>
      </c>
      <c r="F14" s="401">
        <f t="shared" ref="F14:F16" si="0">D14*E14</f>
        <v>34650000</v>
      </c>
      <c r="G14" s="335"/>
    </row>
    <row r="15" spans="1:9" ht="15.75" x14ac:dyDescent="0.25">
      <c r="A15" s="402"/>
      <c r="B15" s="388" t="s">
        <v>206</v>
      </c>
      <c r="C15" s="403" t="s">
        <v>207</v>
      </c>
      <c r="D15" s="404">
        <v>1000</v>
      </c>
      <c r="E15" s="405">
        <v>12000</v>
      </c>
      <c r="F15" s="406">
        <f t="shared" si="0"/>
        <v>12000000</v>
      </c>
      <c r="G15" s="335"/>
    </row>
    <row r="16" spans="1:9" ht="30" x14ac:dyDescent="0.25">
      <c r="A16" s="396"/>
      <c r="B16" s="330" t="s">
        <v>208</v>
      </c>
      <c r="C16" s="394" t="s">
        <v>37</v>
      </c>
      <c r="D16" s="43">
        <v>7</v>
      </c>
      <c r="E16" s="43">
        <v>3500000</v>
      </c>
      <c r="F16" s="401">
        <f t="shared" si="0"/>
        <v>24500000</v>
      </c>
      <c r="G16" s="335" t="s">
        <v>209</v>
      </c>
    </row>
    <row r="17" spans="1:7" ht="90" x14ac:dyDescent="0.25">
      <c r="A17" s="407">
        <v>2</v>
      </c>
      <c r="B17" s="330" t="s">
        <v>215</v>
      </c>
      <c r="C17" s="394"/>
      <c r="D17" s="41"/>
      <c r="E17" s="43"/>
      <c r="F17" s="408">
        <f>SUM(F18:F20)</f>
        <v>37850000</v>
      </c>
      <c r="G17" s="334"/>
    </row>
    <row r="18" spans="1:7" ht="15.75" x14ac:dyDescent="0.25">
      <c r="A18" s="396"/>
      <c r="B18" s="398" t="s">
        <v>202</v>
      </c>
      <c r="C18" s="394" t="s">
        <v>203</v>
      </c>
      <c r="D18" s="43">
        <f>7*12</f>
        <v>84</v>
      </c>
      <c r="E18" s="43">
        <v>150000</v>
      </c>
      <c r="F18" s="401">
        <f>D18*E18</f>
        <v>12600000</v>
      </c>
      <c r="G18" s="335"/>
    </row>
    <row r="19" spans="1:7" ht="15.75" x14ac:dyDescent="0.25">
      <c r="A19" s="386"/>
      <c r="B19" s="388" t="s">
        <v>204</v>
      </c>
      <c r="C19" s="228" t="s">
        <v>205</v>
      </c>
      <c r="D19" s="409">
        <f>7*11</f>
        <v>77</v>
      </c>
      <c r="E19" s="410">
        <v>250000</v>
      </c>
      <c r="F19" s="411">
        <f>D19*E19</f>
        <v>19250000</v>
      </c>
      <c r="G19" s="335"/>
    </row>
    <row r="20" spans="1:7" ht="15.75" x14ac:dyDescent="0.25">
      <c r="A20" s="386"/>
      <c r="B20" s="388" t="s">
        <v>206</v>
      </c>
      <c r="C20" s="392" t="s">
        <v>207</v>
      </c>
      <c r="D20" s="393">
        <v>500</v>
      </c>
      <c r="E20" s="42">
        <v>12000</v>
      </c>
      <c r="F20" s="411">
        <f>D20*E20</f>
        <v>6000000</v>
      </c>
      <c r="G20" s="335"/>
    </row>
    <row r="21" spans="1:7" ht="90" x14ac:dyDescent="0.25">
      <c r="A21" s="386">
        <v>3</v>
      </c>
      <c r="B21" s="330" t="s">
        <v>217</v>
      </c>
      <c r="C21" s="394"/>
      <c r="D21" s="43"/>
      <c r="E21" s="43"/>
      <c r="F21" s="411">
        <f>SUM(F22:F25)</f>
        <v>57750000</v>
      </c>
      <c r="G21" s="334"/>
    </row>
    <row r="22" spans="1:7" ht="15.75" x14ac:dyDescent="0.25">
      <c r="A22" s="396"/>
      <c r="B22" s="330" t="s">
        <v>202</v>
      </c>
      <c r="C22" s="394" t="s">
        <v>203</v>
      </c>
      <c r="D22" s="41">
        <f>7*12</f>
        <v>84</v>
      </c>
      <c r="E22" s="43">
        <v>150000</v>
      </c>
      <c r="F22" s="401">
        <f>D22*E22</f>
        <v>12600000</v>
      </c>
      <c r="G22" s="335"/>
    </row>
    <row r="23" spans="1:7" ht="15.75" x14ac:dyDescent="0.25">
      <c r="A23" s="396"/>
      <c r="B23" s="398" t="s">
        <v>204</v>
      </c>
      <c r="C23" s="394" t="s">
        <v>205</v>
      </c>
      <c r="D23" s="43">
        <f>7*11</f>
        <v>77</v>
      </c>
      <c r="E23" s="43">
        <v>250000</v>
      </c>
      <c r="F23" s="401">
        <f>D23*E23</f>
        <v>19250000</v>
      </c>
      <c r="G23" s="335"/>
    </row>
    <row r="24" spans="1:7" ht="15.75" x14ac:dyDescent="0.25">
      <c r="A24" s="402"/>
      <c r="B24" s="388" t="s">
        <v>206</v>
      </c>
      <c r="C24" s="403" t="s">
        <v>207</v>
      </c>
      <c r="D24" s="404">
        <v>700</v>
      </c>
      <c r="E24" s="405">
        <v>12000</v>
      </c>
      <c r="F24" s="406">
        <f>D24*E24</f>
        <v>8400000</v>
      </c>
      <c r="G24" s="335"/>
    </row>
    <row r="25" spans="1:7" ht="30" x14ac:dyDescent="0.25">
      <c r="A25" s="396"/>
      <c r="B25" s="330" t="s">
        <v>210</v>
      </c>
      <c r="C25" s="394" t="s">
        <v>37</v>
      </c>
      <c r="D25" s="43">
        <v>7</v>
      </c>
      <c r="E25" s="43">
        <v>2500000</v>
      </c>
      <c r="F25" s="401">
        <f>D25*E25</f>
        <v>17500000</v>
      </c>
      <c r="G25" s="335" t="s">
        <v>209</v>
      </c>
    </row>
  </sheetData>
  <mergeCells count="3">
    <mergeCell ref="A1:F1"/>
    <mergeCell ref="A2:F2"/>
    <mergeCell ref="E3:F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26"/>
  <sheetViews>
    <sheetView topLeftCell="A10" zoomScale="85" zoomScaleNormal="85" workbookViewId="0">
      <selection activeCell="O19" sqref="O19"/>
    </sheetView>
  </sheetViews>
  <sheetFormatPr defaultColWidth="9" defaultRowHeight="15.75" x14ac:dyDescent="0.25"/>
  <cols>
    <col min="1" max="1" width="7.42578125" style="464" customWidth="1"/>
    <col min="2" max="2" width="54.140625" style="464" customWidth="1"/>
    <col min="3" max="3" width="11.140625" style="474" bestFit="1" customWidth="1"/>
    <col min="4" max="4" width="10.42578125" style="464" bestFit="1" customWidth="1"/>
    <col min="5" max="5" width="14.28515625" style="463" bestFit="1" customWidth="1"/>
    <col min="6" max="6" width="16.28515625" style="463" customWidth="1"/>
    <col min="7" max="7" width="20.42578125" style="464" hidden="1" customWidth="1"/>
    <col min="8" max="8" width="13.42578125" style="464" customWidth="1"/>
    <col min="9" max="9" width="15" style="464" bestFit="1" customWidth="1"/>
    <col min="10" max="10" width="11.7109375" style="464" bestFit="1" customWidth="1"/>
    <col min="11" max="11" width="12" style="464" bestFit="1" customWidth="1"/>
    <col min="12" max="16384" width="9" style="464"/>
  </cols>
  <sheetData>
    <row r="1" spans="1:7" ht="23.25" customHeight="1" x14ac:dyDescent="0.25">
      <c r="A1" s="1091" t="s">
        <v>195</v>
      </c>
      <c r="B1" s="1091"/>
      <c r="C1" s="1091"/>
      <c r="D1" s="1091"/>
      <c r="E1" s="1091"/>
      <c r="F1" s="1091"/>
      <c r="G1" s="1091"/>
    </row>
    <row r="2" spans="1:7" ht="31.5" customHeight="1" x14ac:dyDescent="0.25">
      <c r="A2" s="1091" t="s">
        <v>274</v>
      </c>
      <c r="B2" s="1091"/>
      <c r="C2" s="1091"/>
      <c r="D2" s="1091"/>
      <c r="E2" s="1091"/>
      <c r="F2" s="1091"/>
      <c r="G2" s="463"/>
    </row>
    <row r="3" spans="1:7" ht="31.5" customHeight="1" x14ac:dyDescent="0.25">
      <c r="A3" s="1143" t="s">
        <v>275</v>
      </c>
      <c r="B3" s="1143"/>
      <c r="C3" s="1143"/>
      <c r="D3" s="1143"/>
      <c r="E3" s="1143"/>
      <c r="F3" s="1143"/>
      <c r="G3" s="463"/>
    </row>
    <row r="4" spans="1:7" x14ac:dyDescent="0.25">
      <c r="A4" s="465"/>
      <c r="B4" s="460"/>
      <c r="C4" s="460"/>
      <c r="D4" s="460"/>
      <c r="E4" s="460"/>
      <c r="F4" s="460"/>
      <c r="G4" s="463"/>
    </row>
    <row r="5" spans="1:7" ht="40.5" customHeight="1" x14ac:dyDescent="0.25">
      <c r="A5" s="340" t="s">
        <v>219</v>
      </c>
      <c r="B5" s="340" t="s">
        <v>1</v>
      </c>
      <c r="C5" s="340" t="s">
        <v>199</v>
      </c>
      <c r="D5" s="341" t="s">
        <v>32</v>
      </c>
      <c r="E5" s="342" t="s">
        <v>198</v>
      </c>
      <c r="F5" s="343" t="s">
        <v>197</v>
      </c>
      <c r="G5" s="466" t="s">
        <v>21</v>
      </c>
    </row>
    <row r="6" spans="1:7" ht="26.25" customHeight="1" x14ac:dyDescent="0.25">
      <c r="A6" s="340" t="s">
        <v>5</v>
      </c>
      <c r="B6" s="416" t="s">
        <v>264</v>
      </c>
      <c r="C6" s="340"/>
      <c r="D6" s="341"/>
      <c r="E6" s="342"/>
      <c r="F6" s="343">
        <f>F7+F17</f>
        <v>91000000</v>
      </c>
      <c r="G6" s="466"/>
    </row>
    <row r="7" spans="1:7" s="468" customFormat="1" ht="63" x14ac:dyDescent="0.25">
      <c r="A7" s="421">
        <v>1</v>
      </c>
      <c r="B7" s="419" t="s">
        <v>332</v>
      </c>
      <c r="C7" s="420" t="s">
        <v>216</v>
      </c>
      <c r="D7" s="428">
        <v>3</v>
      </c>
      <c r="E7" s="424">
        <f>F8</f>
        <v>18200000</v>
      </c>
      <c r="F7" s="424">
        <f>E7*D7</f>
        <v>54600000</v>
      </c>
      <c r="G7" s="467"/>
    </row>
    <row r="8" spans="1:7" s="468" customFormat="1" ht="31.5" x14ac:dyDescent="0.25">
      <c r="A8" s="421"/>
      <c r="B8" s="427" t="s">
        <v>334</v>
      </c>
      <c r="C8" s="420"/>
      <c r="D8" s="422"/>
      <c r="E8" s="423"/>
      <c r="F8" s="424">
        <f>SUM(F9:F16)</f>
        <v>18200000</v>
      </c>
      <c r="G8" s="467"/>
    </row>
    <row r="9" spans="1:7" s="468" customFormat="1" x14ac:dyDescent="0.25">
      <c r="A9" s="344"/>
      <c r="B9" s="377" t="s">
        <v>270</v>
      </c>
      <c r="C9" s="378" t="s">
        <v>37</v>
      </c>
      <c r="D9" s="375">
        <v>2</v>
      </c>
      <c r="E9" s="348">
        <v>500000</v>
      </c>
      <c r="F9" s="379">
        <f>E9*D9</f>
        <v>1000000</v>
      </c>
      <c r="G9" s="467"/>
    </row>
    <row r="10" spans="1:7" s="468" customFormat="1" x14ac:dyDescent="0.25">
      <c r="A10" s="344"/>
      <c r="B10" s="377" t="s">
        <v>271</v>
      </c>
      <c r="C10" s="378" t="s">
        <v>37</v>
      </c>
      <c r="D10" s="375">
        <v>2</v>
      </c>
      <c r="E10" s="348">
        <v>300000</v>
      </c>
      <c r="F10" s="379">
        <f t="shared" ref="F10:F16" si="0">E10*D10</f>
        <v>600000</v>
      </c>
      <c r="G10" s="467"/>
    </row>
    <row r="11" spans="1:7" s="468" customFormat="1" x14ac:dyDescent="0.25">
      <c r="A11" s="344"/>
      <c r="B11" s="377" t="s">
        <v>272</v>
      </c>
      <c r="C11" s="378" t="s">
        <v>37</v>
      </c>
      <c r="D11" s="375">
        <v>6</v>
      </c>
      <c r="E11" s="348">
        <v>350000</v>
      </c>
      <c r="F11" s="379">
        <f t="shared" si="0"/>
        <v>2100000</v>
      </c>
      <c r="G11" s="467"/>
    </row>
    <row r="12" spans="1:7" s="468" customFormat="1" ht="29.1" customHeight="1" x14ac:dyDescent="0.25">
      <c r="A12" s="344"/>
      <c r="B12" s="3" t="s">
        <v>265</v>
      </c>
      <c r="C12" s="378" t="s">
        <v>263</v>
      </c>
      <c r="D12" s="13">
        <v>1</v>
      </c>
      <c r="E12" s="458">
        <v>4500000</v>
      </c>
      <c r="F12" s="379">
        <f t="shared" si="0"/>
        <v>4500000</v>
      </c>
      <c r="G12" s="467"/>
    </row>
    <row r="13" spans="1:7" s="468" customFormat="1" x14ac:dyDescent="0.25">
      <c r="A13" s="344"/>
      <c r="B13" s="459" t="s">
        <v>266</v>
      </c>
      <c r="C13" s="378" t="s">
        <v>263</v>
      </c>
      <c r="D13" s="13">
        <v>1</v>
      </c>
      <c r="E13" s="458">
        <v>3500000</v>
      </c>
      <c r="F13" s="379">
        <f t="shared" si="0"/>
        <v>3500000</v>
      </c>
      <c r="G13" s="467"/>
    </row>
    <row r="14" spans="1:7" s="468" customFormat="1" x14ac:dyDescent="0.25">
      <c r="A14" s="344"/>
      <c r="B14" s="459" t="s">
        <v>267</v>
      </c>
      <c r="C14" s="378" t="s">
        <v>263</v>
      </c>
      <c r="D14" s="13">
        <v>1</v>
      </c>
      <c r="E14" s="458">
        <v>3000000</v>
      </c>
      <c r="F14" s="379">
        <f t="shared" si="0"/>
        <v>3000000</v>
      </c>
      <c r="G14" s="467"/>
    </row>
    <row r="15" spans="1:7" s="468" customFormat="1" x14ac:dyDescent="0.25">
      <c r="A15" s="344"/>
      <c r="B15" s="459" t="s">
        <v>268</v>
      </c>
      <c r="C15" s="378" t="s">
        <v>263</v>
      </c>
      <c r="D15" s="13">
        <v>1</v>
      </c>
      <c r="E15" s="458">
        <v>2500000</v>
      </c>
      <c r="F15" s="379">
        <f t="shared" si="0"/>
        <v>2500000</v>
      </c>
      <c r="G15" s="467"/>
    </row>
    <row r="16" spans="1:7" s="468" customFormat="1" x14ac:dyDescent="0.25">
      <c r="A16" s="344"/>
      <c r="B16" s="459" t="s">
        <v>269</v>
      </c>
      <c r="C16" s="378" t="s">
        <v>263</v>
      </c>
      <c r="D16" s="13">
        <v>1</v>
      </c>
      <c r="E16" s="458">
        <v>1000000</v>
      </c>
      <c r="F16" s="379">
        <f t="shared" si="0"/>
        <v>1000000</v>
      </c>
      <c r="G16" s="467"/>
    </row>
    <row r="17" spans="1:7" s="470" customFormat="1" ht="78.75" x14ac:dyDescent="0.25">
      <c r="A17" s="456">
        <v>2</v>
      </c>
      <c r="B17" s="457" t="s">
        <v>333</v>
      </c>
      <c r="C17" s="420" t="s">
        <v>216</v>
      </c>
      <c r="D17" s="428">
        <v>2</v>
      </c>
      <c r="E17" s="424">
        <f>F18</f>
        <v>18200000</v>
      </c>
      <c r="F17" s="376">
        <f>D17*E17</f>
        <v>36400000</v>
      </c>
      <c r="G17" s="469"/>
    </row>
    <row r="18" spans="1:7" s="470" customFormat="1" ht="31.5" x14ac:dyDescent="0.25">
      <c r="A18" s="425"/>
      <c r="B18" s="374" t="s">
        <v>335</v>
      </c>
      <c r="C18" s="471"/>
      <c r="D18" s="472"/>
      <c r="E18" s="473"/>
      <c r="F18" s="376">
        <f>SUM(F19:F26)</f>
        <v>18200000</v>
      </c>
      <c r="G18" s="469"/>
    </row>
    <row r="19" spans="1:7" s="470" customFormat="1" x14ac:dyDescent="0.25">
      <c r="A19" s="425"/>
      <c r="B19" s="377" t="s">
        <v>270</v>
      </c>
      <c r="C19" s="378" t="s">
        <v>37</v>
      </c>
      <c r="D19" s="375">
        <v>2</v>
      </c>
      <c r="E19" s="348">
        <v>500000</v>
      </c>
      <c r="F19" s="379">
        <f>E19*D19</f>
        <v>1000000</v>
      </c>
      <c r="G19" s="469"/>
    </row>
    <row r="20" spans="1:7" x14ac:dyDescent="0.25">
      <c r="A20" s="425"/>
      <c r="B20" s="377" t="s">
        <v>271</v>
      </c>
      <c r="C20" s="378" t="s">
        <v>37</v>
      </c>
      <c r="D20" s="375">
        <v>2</v>
      </c>
      <c r="E20" s="348">
        <v>300000</v>
      </c>
      <c r="F20" s="379">
        <f t="shared" ref="F20:F26" si="1">E20*D20</f>
        <v>600000</v>
      </c>
      <c r="G20" s="469"/>
    </row>
    <row r="21" spans="1:7" x14ac:dyDescent="0.25">
      <c r="A21" s="425"/>
      <c r="B21" s="377" t="s">
        <v>272</v>
      </c>
      <c r="C21" s="378" t="s">
        <v>37</v>
      </c>
      <c r="D21" s="375">
        <v>6</v>
      </c>
      <c r="E21" s="348">
        <v>350000</v>
      </c>
      <c r="F21" s="379">
        <f t="shared" si="1"/>
        <v>2100000</v>
      </c>
      <c r="G21" s="469"/>
    </row>
    <row r="22" spans="1:7" x14ac:dyDescent="0.25">
      <c r="A22" s="425"/>
      <c r="B22" s="459" t="s">
        <v>265</v>
      </c>
      <c r="C22" s="378" t="s">
        <v>263</v>
      </c>
      <c r="D22" s="13">
        <v>1</v>
      </c>
      <c r="E22" s="458">
        <v>4500000</v>
      </c>
      <c r="F22" s="379">
        <f t="shared" si="1"/>
        <v>4500000</v>
      </c>
      <c r="G22" s="469"/>
    </row>
    <row r="23" spans="1:7" x14ac:dyDescent="0.25">
      <c r="A23" s="425"/>
      <c r="B23" s="459" t="s">
        <v>266</v>
      </c>
      <c r="C23" s="378" t="s">
        <v>263</v>
      </c>
      <c r="D23" s="13">
        <v>1</v>
      </c>
      <c r="E23" s="458">
        <v>3500000</v>
      </c>
      <c r="F23" s="379">
        <f t="shared" si="1"/>
        <v>3500000</v>
      </c>
      <c r="G23" s="469"/>
    </row>
    <row r="24" spans="1:7" x14ac:dyDescent="0.25">
      <c r="A24" s="425"/>
      <c r="B24" s="459" t="s">
        <v>267</v>
      </c>
      <c r="C24" s="378" t="s">
        <v>263</v>
      </c>
      <c r="D24" s="13">
        <v>1</v>
      </c>
      <c r="E24" s="458">
        <v>3000000</v>
      </c>
      <c r="F24" s="379">
        <f t="shared" si="1"/>
        <v>3000000</v>
      </c>
      <c r="G24" s="469"/>
    </row>
    <row r="25" spans="1:7" x14ac:dyDescent="0.25">
      <c r="A25" s="425"/>
      <c r="B25" s="459" t="s">
        <v>268</v>
      </c>
      <c r="C25" s="378" t="s">
        <v>263</v>
      </c>
      <c r="D25" s="13">
        <v>1</v>
      </c>
      <c r="E25" s="458">
        <v>2500000</v>
      </c>
      <c r="F25" s="379">
        <f t="shared" si="1"/>
        <v>2500000</v>
      </c>
      <c r="G25" s="469"/>
    </row>
    <row r="26" spans="1:7" x14ac:dyDescent="0.25">
      <c r="A26" s="425"/>
      <c r="B26" s="459" t="s">
        <v>269</v>
      </c>
      <c r="C26" s="378" t="s">
        <v>263</v>
      </c>
      <c r="D26" s="13">
        <v>1</v>
      </c>
      <c r="E26" s="458">
        <v>1000000</v>
      </c>
      <c r="F26" s="379">
        <f t="shared" si="1"/>
        <v>1000000</v>
      </c>
      <c r="G26" s="469"/>
    </row>
  </sheetData>
  <mergeCells count="3">
    <mergeCell ref="A1:G1"/>
    <mergeCell ref="A2:F2"/>
    <mergeCell ref="A3:F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19"/>
  <sheetViews>
    <sheetView workbookViewId="0">
      <selection activeCell="H10" sqref="H10"/>
    </sheetView>
  </sheetViews>
  <sheetFormatPr defaultColWidth="9" defaultRowHeight="15.75" x14ac:dyDescent="0.25"/>
  <cols>
    <col min="1" max="1" width="6.5703125" style="338" customWidth="1"/>
    <col min="2" max="2" width="45.28515625" style="338" customWidth="1"/>
    <col min="3" max="3" width="17.42578125" style="338" customWidth="1"/>
    <col min="4" max="4" width="7.7109375" style="338" customWidth="1"/>
    <col min="5" max="5" width="14.42578125" style="339" customWidth="1"/>
    <col min="6" max="6" width="17.7109375" style="339" customWidth="1"/>
    <col min="7" max="7" width="20.42578125" style="338" customWidth="1"/>
    <col min="8" max="8" width="13.42578125" style="338" customWidth="1"/>
    <col min="9" max="9" width="15" style="338" bestFit="1" customWidth="1"/>
    <col min="10" max="10" width="11.7109375" style="338" bestFit="1" customWidth="1"/>
    <col min="11" max="11" width="12" style="338" bestFit="1" customWidth="1"/>
    <col min="12" max="16384" width="9" style="338"/>
  </cols>
  <sheetData>
    <row r="1" spans="1:7" ht="35.25" customHeight="1" x14ac:dyDescent="0.25">
      <c r="A1" s="1091" t="s">
        <v>193</v>
      </c>
      <c r="B1" s="1091"/>
      <c r="C1" s="1091"/>
      <c r="D1" s="1091"/>
      <c r="E1" s="1091"/>
      <c r="F1" s="1091"/>
    </row>
    <row r="2" spans="1:7" ht="35.25" customHeight="1" x14ac:dyDescent="0.25">
      <c r="A2" s="1091" t="s">
        <v>359</v>
      </c>
      <c r="B2" s="1091"/>
      <c r="C2" s="1091"/>
      <c r="D2" s="1091"/>
      <c r="E2" s="1091"/>
      <c r="F2" s="1091"/>
    </row>
    <row r="3" spans="1:7" x14ac:dyDescent="0.25">
      <c r="A3" s="460"/>
      <c r="B3" s="460"/>
      <c r="C3" s="460"/>
      <c r="D3" s="460"/>
      <c r="E3" s="460"/>
      <c r="F3" s="460"/>
    </row>
    <row r="4" spans="1:7" ht="31.5" x14ac:dyDescent="0.25">
      <c r="A4" s="340" t="s">
        <v>0</v>
      </c>
      <c r="B4" s="340" t="s">
        <v>1</v>
      </c>
      <c r="C4" s="340" t="s">
        <v>33</v>
      </c>
      <c r="D4" s="341" t="s">
        <v>32</v>
      </c>
      <c r="E4" s="342" t="s">
        <v>31</v>
      </c>
      <c r="F4" s="343" t="s">
        <v>197</v>
      </c>
    </row>
    <row r="5" spans="1:7" s="345" customFormat="1" ht="18.75" customHeight="1" x14ac:dyDescent="0.25">
      <c r="A5" s="510"/>
      <c r="B5" s="511" t="s">
        <v>214</v>
      </c>
      <c r="C5" s="510"/>
      <c r="D5" s="510"/>
      <c r="E5" s="510"/>
      <c r="F5" s="512">
        <f>F6+F13</f>
        <v>10810000</v>
      </c>
    </row>
    <row r="6" spans="1:7" s="347" customFormat="1" ht="18.75" customHeight="1" x14ac:dyDescent="0.25">
      <c r="A6" s="496">
        <v>1</v>
      </c>
      <c r="B6" s="497" t="s">
        <v>42</v>
      </c>
      <c r="C6" s="498"/>
      <c r="D6" s="499"/>
      <c r="E6" s="500"/>
      <c r="F6" s="501">
        <f>SUM(F7:F12)</f>
        <v>5200000</v>
      </c>
      <c r="G6" s="346"/>
    </row>
    <row r="7" spans="1:7" s="349" customFormat="1" ht="18.75" customHeight="1" x14ac:dyDescent="0.25">
      <c r="A7" s="502"/>
      <c r="B7" s="503" t="s">
        <v>41</v>
      </c>
      <c r="C7" s="502" t="s">
        <v>37</v>
      </c>
      <c r="D7" s="504">
        <v>1</v>
      </c>
      <c r="E7" s="505">
        <v>450000</v>
      </c>
      <c r="F7" s="505">
        <f t="shared" ref="F7:F12" si="0">E7*D7</f>
        <v>450000</v>
      </c>
      <c r="G7" s="346"/>
    </row>
    <row r="8" spans="1:7" s="349" customFormat="1" ht="18.75" customHeight="1" x14ac:dyDescent="0.25">
      <c r="A8" s="502"/>
      <c r="B8" s="506" t="s">
        <v>40</v>
      </c>
      <c r="C8" s="502" t="s">
        <v>37</v>
      </c>
      <c r="D8" s="504">
        <v>7</v>
      </c>
      <c r="E8" s="505">
        <v>300000</v>
      </c>
      <c r="F8" s="505">
        <f t="shared" si="0"/>
        <v>2100000</v>
      </c>
      <c r="G8" s="346"/>
    </row>
    <row r="9" spans="1:7" s="349" customFormat="1" ht="18.75" customHeight="1" x14ac:dyDescent="0.25">
      <c r="A9" s="502"/>
      <c r="B9" s="506" t="s">
        <v>39</v>
      </c>
      <c r="C9" s="502" t="s">
        <v>37</v>
      </c>
      <c r="D9" s="504">
        <v>1</v>
      </c>
      <c r="E9" s="505">
        <v>100000</v>
      </c>
      <c r="F9" s="505">
        <f t="shared" si="0"/>
        <v>100000</v>
      </c>
      <c r="G9" s="346"/>
    </row>
    <row r="10" spans="1:7" s="349" customFormat="1" ht="18.75" customHeight="1" x14ac:dyDescent="0.25">
      <c r="A10" s="502"/>
      <c r="B10" s="507" t="s">
        <v>38</v>
      </c>
      <c r="C10" s="502" t="s">
        <v>37</v>
      </c>
      <c r="D10" s="504">
        <v>10</v>
      </c>
      <c r="E10" s="505">
        <v>100000</v>
      </c>
      <c r="F10" s="505">
        <f t="shared" si="0"/>
        <v>1000000</v>
      </c>
      <c r="G10" s="346"/>
    </row>
    <row r="11" spans="1:7" s="349" customFormat="1" ht="18.75" customHeight="1" x14ac:dyDescent="0.25">
      <c r="A11" s="502"/>
      <c r="B11" s="508" t="s">
        <v>36</v>
      </c>
      <c r="C11" s="502" t="s">
        <v>34</v>
      </c>
      <c r="D11" s="504">
        <v>7</v>
      </c>
      <c r="E11" s="505">
        <v>150000</v>
      </c>
      <c r="F11" s="505">
        <f t="shared" si="0"/>
        <v>1050000</v>
      </c>
      <c r="G11" s="346"/>
    </row>
    <row r="12" spans="1:7" s="349" customFormat="1" ht="31.5" x14ac:dyDescent="0.25">
      <c r="A12" s="502"/>
      <c r="B12" s="509" t="s">
        <v>35</v>
      </c>
      <c r="C12" s="502" t="s">
        <v>34</v>
      </c>
      <c r="D12" s="504">
        <v>2</v>
      </c>
      <c r="E12" s="505">
        <v>250000</v>
      </c>
      <c r="F12" s="505">
        <f t="shared" si="0"/>
        <v>500000</v>
      </c>
      <c r="G12" s="346"/>
    </row>
    <row r="13" spans="1:7" s="347" customFormat="1" ht="18.75" customHeight="1" x14ac:dyDescent="0.25">
      <c r="A13" s="496">
        <v>2</v>
      </c>
      <c r="B13" s="497" t="s">
        <v>46</v>
      </c>
      <c r="C13" s="498"/>
      <c r="D13" s="499"/>
      <c r="E13" s="500"/>
      <c r="F13" s="501">
        <f>SUM(F14:F19)</f>
        <v>5610000</v>
      </c>
      <c r="G13" s="346"/>
    </row>
    <row r="14" spans="1:7" s="349" customFormat="1" ht="18.75" customHeight="1" x14ac:dyDescent="0.25">
      <c r="A14" s="502"/>
      <c r="B14" s="503" t="s">
        <v>41</v>
      </c>
      <c r="C14" s="502" t="s">
        <v>37</v>
      </c>
      <c r="D14" s="504">
        <v>1</v>
      </c>
      <c r="E14" s="505">
        <v>450000</v>
      </c>
      <c r="F14" s="505">
        <f t="shared" ref="F14:F19" si="1">E14*D14</f>
        <v>450000</v>
      </c>
      <c r="G14" s="346"/>
    </row>
    <row r="15" spans="1:7" s="349" customFormat="1" ht="18.75" customHeight="1" x14ac:dyDescent="0.25">
      <c r="A15" s="502"/>
      <c r="B15" s="506" t="s">
        <v>40</v>
      </c>
      <c r="C15" s="502" t="s">
        <v>37</v>
      </c>
      <c r="D15" s="504">
        <v>7</v>
      </c>
      <c r="E15" s="505">
        <v>300000</v>
      </c>
      <c r="F15" s="505">
        <f t="shared" si="1"/>
        <v>2100000</v>
      </c>
      <c r="G15" s="346"/>
    </row>
    <row r="16" spans="1:7" s="349" customFormat="1" ht="24" customHeight="1" x14ac:dyDescent="0.25">
      <c r="A16" s="502"/>
      <c r="B16" s="506" t="s">
        <v>39</v>
      </c>
      <c r="C16" s="502" t="s">
        <v>37</v>
      </c>
      <c r="D16" s="504">
        <v>1</v>
      </c>
      <c r="E16" s="505">
        <v>10000</v>
      </c>
      <c r="F16" s="505">
        <f t="shared" si="1"/>
        <v>10000</v>
      </c>
      <c r="G16" s="346"/>
    </row>
    <row r="17" spans="1:7" s="349" customFormat="1" ht="18.75" customHeight="1" x14ac:dyDescent="0.25">
      <c r="A17" s="502"/>
      <c r="B17" s="507" t="s">
        <v>38</v>
      </c>
      <c r="C17" s="502" t="s">
        <v>37</v>
      </c>
      <c r="D17" s="504">
        <v>15</v>
      </c>
      <c r="E17" s="505">
        <v>100000</v>
      </c>
      <c r="F17" s="505">
        <f t="shared" si="1"/>
        <v>1500000</v>
      </c>
      <c r="G17" s="346"/>
    </row>
    <row r="18" spans="1:7" s="349" customFormat="1" ht="21" customHeight="1" x14ac:dyDescent="0.25">
      <c r="A18" s="502"/>
      <c r="B18" s="508" t="s">
        <v>36</v>
      </c>
      <c r="C18" s="502" t="s">
        <v>34</v>
      </c>
      <c r="D18" s="504">
        <v>7</v>
      </c>
      <c r="E18" s="505">
        <v>150000</v>
      </c>
      <c r="F18" s="505">
        <f t="shared" si="1"/>
        <v>1050000</v>
      </c>
      <c r="G18" s="346"/>
    </row>
    <row r="19" spans="1:7" s="349" customFormat="1" ht="31.5" x14ac:dyDescent="0.25">
      <c r="A19" s="502"/>
      <c r="B19" s="509" t="s">
        <v>35</v>
      </c>
      <c r="C19" s="502" t="s">
        <v>34</v>
      </c>
      <c r="D19" s="504">
        <v>2</v>
      </c>
      <c r="E19" s="505">
        <v>250000</v>
      </c>
      <c r="F19" s="505">
        <f t="shared" si="1"/>
        <v>500000</v>
      </c>
      <c r="G19" s="346"/>
    </row>
  </sheetData>
  <mergeCells count="2">
    <mergeCell ref="A1:F1"/>
    <mergeCell ref="A2:F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18"/>
  <sheetViews>
    <sheetView topLeftCell="A6" workbookViewId="0">
      <selection activeCell="A6" sqref="A6:F18"/>
    </sheetView>
  </sheetViews>
  <sheetFormatPr defaultColWidth="9" defaultRowHeight="15.75" x14ac:dyDescent="0.25"/>
  <cols>
    <col min="1" max="1" width="6.5703125" style="338" customWidth="1"/>
    <col min="2" max="2" width="45.28515625" style="338" customWidth="1"/>
    <col min="3" max="3" width="17.42578125" style="338" customWidth="1"/>
    <col min="4" max="4" width="11" style="338" customWidth="1"/>
    <col min="5" max="5" width="14.42578125" style="339" customWidth="1"/>
    <col min="6" max="6" width="17.7109375" style="339" customWidth="1"/>
    <col min="7" max="7" width="20.42578125" style="338" customWidth="1"/>
    <col min="8" max="8" width="13.42578125" style="338" customWidth="1"/>
    <col min="9" max="9" width="15" style="338" bestFit="1" customWidth="1"/>
    <col min="10" max="10" width="11.7109375" style="338" bestFit="1" customWidth="1"/>
    <col min="11" max="11" width="12" style="338" bestFit="1" customWidth="1"/>
    <col min="12" max="16384" width="9" style="338"/>
  </cols>
  <sheetData>
    <row r="1" spans="1:7" ht="35.25" customHeight="1" x14ac:dyDescent="0.25">
      <c r="A1" s="1091" t="s">
        <v>425</v>
      </c>
      <c r="B1" s="1091"/>
      <c r="C1" s="1091"/>
      <c r="D1" s="1091"/>
      <c r="E1" s="1091"/>
      <c r="F1" s="1091"/>
    </row>
    <row r="2" spans="1:7" ht="35.25" customHeight="1" x14ac:dyDescent="0.25">
      <c r="A2" s="1091" t="s">
        <v>359</v>
      </c>
      <c r="B2" s="1091"/>
      <c r="C2" s="1091"/>
      <c r="D2" s="1091"/>
      <c r="E2" s="1091"/>
      <c r="F2" s="1091"/>
    </row>
    <row r="3" spans="1:7" x14ac:dyDescent="0.25">
      <c r="A3" s="513"/>
      <c r="B3" s="513"/>
      <c r="C3" s="513"/>
      <c r="D3" s="513"/>
      <c r="E3" s="513"/>
      <c r="F3" s="513"/>
    </row>
    <row r="4" spans="1:7" ht="31.5" x14ac:dyDescent="0.25">
      <c r="A4" s="589" t="s">
        <v>0</v>
      </c>
      <c r="B4" s="589" t="s">
        <v>1</v>
      </c>
      <c r="C4" s="589" t="s">
        <v>33</v>
      </c>
      <c r="D4" s="589" t="s">
        <v>32</v>
      </c>
      <c r="E4" s="343" t="s">
        <v>31</v>
      </c>
      <c r="F4" s="343" t="s">
        <v>197</v>
      </c>
    </row>
    <row r="5" spans="1:7" ht="24.75" customHeight="1" x14ac:dyDescent="0.25">
      <c r="A5" s="589"/>
      <c r="B5" s="590" t="s">
        <v>426</v>
      </c>
      <c r="C5" s="589"/>
      <c r="D5" s="589"/>
      <c r="E5" s="343"/>
      <c r="F5" s="343">
        <f>F6+F12</f>
        <v>22850000</v>
      </c>
    </row>
    <row r="6" spans="1:7" s="345" customFormat="1" ht="38.25" customHeight="1" x14ac:dyDescent="0.25">
      <c r="A6" s="536" t="s">
        <v>44</v>
      </c>
      <c r="B6" s="559" t="s">
        <v>430</v>
      </c>
      <c r="C6" s="559"/>
      <c r="D6" s="560"/>
      <c r="E6" s="537"/>
      <c r="F6" s="538">
        <f>SUM(F7:F11)</f>
        <v>10150000</v>
      </c>
    </row>
    <row r="7" spans="1:7" s="347" customFormat="1" ht="18.75" customHeight="1" x14ac:dyDescent="0.25">
      <c r="A7" s="539" t="s">
        <v>419</v>
      </c>
      <c r="B7" s="540" t="s">
        <v>103</v>
      </c>
      <c r="C7" s="541" t="s">
        <v>421</v>
      </c>
      <c r="D7" s="541">
        <v>1</v>
      </c>
      <c r="E7" s="542">
        <v>900000</v>
      </c>
      <c r="F7" s="543">
        <f t="shared" ref="F7:F11" si="0">D7*E7</f>
        <v>900000</v>
      </c>
      <c r="G7" s="346"/>
    </row>
    <row r="8" spans="1:7" s="349" customFormat="1" ht="18.75" customHeight="1" x14ac:dyDescent="0.25">
      <c r="A8" s="539" t="s">
        <v>420</v>
      </c>
      <c r="B8" s="540" t="s">
        <v>171</v>
      </c>
      <c r="C8" s="541" t="s">
        <v>421</v>
      </c>
      <c r="D8" s="541">
        <v>1</v>
      </c>
      <c r="E8" s="542">
        <v>300000</v>
      </c>
      <c r="F8" s="543">
        <f t="shared" si="0"/>
        <v>300000</v>
      </c>
      <c r="G8" s="346"/>
    </row>
    <row r="9" spans="1:7" s="349" customFormat="1" ht="18.75" customHeight="1" x14ac:dyDescent="0.25">
      <c r="A9" s="539" t="s">
        <v>427</v>
      </c>
      <c r="B9" s="540" t="s">
        <v>422</v>
      </c>
      <c r="C9" s="541" t="s">
        <v>257</v>
      </c>
      <c r="D9" s="541">
        <v>3</v>
      </c>
      <c r="E9" s="542">
        <v>1200000</v>
      </c>
      <c r="F9" s="543">
        <f t="shared" si="0"/>
        <v>3600000</v>
      </c>
      <c r="G9" s="346"/>
    </row>
    <row r="10" spans="1:7" s="349" customFormat="1" ht="18.75" customHeight="1" x14ac:dyDescent="0.25">
      <c r="A10" s="539" t="s">
        <v>428</v>
      </c>
      <c r="B10" s="540" t="s">
        <v>423</v>
      </c>
      <c r="C10" s="541" t="s">
        <v>37</v>
      </c>
      <c r="D10" s="541">
        <v>30</v>
      </c>
      <c r="E10" s="542">
        <v>120000</v>
      </c>
      <c r="F10" s="543">
        <f t="shared" si="0"/>
        <v>3600000</v>
      </c>
      <c r="G10" s="346"/>
    </row>
    <row r="11" spans="1:7" s="349" customFormat="1" ht="18.75" customHeight="1" x14ac:dyDescent="0.25">
      <c r="A11" s="544" t="s">
        <v>431</v>
      </c>
      <c r="B11" s="545" t="s">
        <v>424</v>
      </c>
      <c r="C11" s="546" t="s">
        <v>37</v>
      </c>
      <c r="D11" s="546">
        <f>D10+D9+D8+D7</f>
        <v>35</v>
      </c>
      <c r="E11" s="547">
        <v>50000</v>
      </c>
      <c r="F11" s="548">
        <f t="shared" si="0"/>
        <v>1750000</v>
      </c>
      <c r="G11" s="346"/>
    </row>
    <row r="12" spans="1:7" s="349" customFormat="1" ht="40.5" x14ac:dyDescent="0.25">
      <c r="A12" s="549" t="s">
        <v>45</v>
      </c>
      <c r="B12" s="552" t="s">
        <v>429</v>
      </c>
      <c r="C12" s="552"/>
      <c r="D12" s="553"/>
      <c r="E12" s="550"/>
      <c r="F12" s="551">
        <f>SUM(F13:F17)</f>
        <v>12700000</v>
      </c>
      <c r="G12" s="346"/>
    </row>
    <row r="13" spans="1:7" s="349" customFormat="1" x14ac:dyDescent="0.25">
      <c r="A13" s="554" t="s">
        <v>369</v>
      </c>
      <c r="B13" s="555" t="s">
        <v>103</v>
      </c>
      <c r="C13" s="556" t="s">
        <v>421</v>
      </c>
      <c r="D13" s="556">
        <v>1</v>
      </c>
      <c r="E13" s="557">
        <v>900000</v>
      </c>
      <c r="F13" s="558">
        <f t="shared" ref="F13:F17" si="1">D13*E13</f>
        <v>900000</v>
      </c>
      <c r="G13" s="346"/>
    </row>
    <row r="14" spans="1:7" s="347" customFormat="1" ht="18.75" customHeight="1" x14ac:dyDescent="0.25">
      <c r="A14" s="539" t="s">
        <v>370</v>
      </c>
      <c r="B14" s="540" t="s">
        <v>171</v>
      </c>
      <c r="C14" s="541" t="s">
        <v>421</v>
      </c>
      <c r="D14" s="541">
        <v>1</v>
      </c>
      <c r="E14" s="542">
        <v>300000</v>
      </c>
      <c r="F14" s="543">
        <f t="shared" si="1"/>
        <v>300000</v>
      </c>
      <c r="G14" s="346"/>
    </row>
    <row r="15" spans="1:7" s="349" customFormat="1" ht="18.75" customHeight="1" x14ac:dyDescent="0.25">
      <c r="A15" s="539" t="s">
        <v>371</v>
      </c>
      <c r="B15" s="540" t="s">
        <v>422</v>
      </c>
      <c r="C15" s="541" t="s">
        <v>257</v>
      </c>
      <c r="D15" s="541">
        <v>3</v>
      </c>
      <c r="E15" s="542">
        <v>1200000</v>
      </c>
      <c r="F15" s="543">
        <f t="shared" si="1"/>
        <v>3600000</v>
      </c>
      <c r="G15" s="346"/>
    </row>
    <row r="16" spans="1:7" s="349" customFormat="1" ht="18.75" customHeight="1" x14ac:dyDescent="0.25">
      <c r="A16" s="539" t="s">
        <v>372</v>
      </c>
      <c r="B16" s="540" t="s">
        <v>432</v>
      </c>
      <c r="C16" s="541" t="s">
        <v>37</v>
      </c>
      <c r="D16" s="541">
        <v>45</v>
      </c>
      <c r="E16" s="542">
        <v>120000</v>
      </c>
      <c r="F16" s="543">
        <f t="shared" si="1"/>
        <v>5400000</v>
      </c>
      <c r="G16" s="346"/>
    </row>
    <row r="17" spans="1:7" s="349" customFormat="1" ht="24" customHeight="1" x14ac:dyDescent="0.25">
      <c r="A17" s="544" t="s">
        <v>373</v>
      </c>
      <c r="B17" s="545" t="s">
        <v>424</v>
      </c>
      <c r="C17" s="546" t="s">
        <v>37</v>
      </c>
      <c r="D17" s="546">
        <f>D16+D15+D14+D13</f>
        <v>50</v>
      </c>
      <c r="E17" s="547">
        <v>50000</v>
      </c>
      <c r="F17" s="548">
        <f t="shared" si="1"/>
        <v>2500000</v>
      </c>
      <c r="G17" s="346"/>
    </row>
    <row r="18" spans="1:7" ht="45.75" customHeight="1" x14ac:dyDescent="0.25">
      <c r="A18" s="549" t="s">
        <v>87</v>
      </c>
      <c r="B18" s="591" t="s">
        <v>380</v>
      </c>
      <c r="C18" s="592"/>
      <c r="D18" s="592"/>
      <c r="E18" s="593"/>
      <c r="F18" s="593"/>
    </row>
  </sheetData>
  <mergeCells count="2">
    <mergeCell ref="A1:F1"/>
    <mergeCell ref="A2:F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30"/>
  <sheetViews>
    <sheetView zoomScale="85" zoomScaleNormal="85" workbookViewId="0">
      <selection activeCell="D15" sqref="D15"/>
    </sheetView>
  </sheetViews>
  <sheetFormatPr defaultRowHeight="15" x14ac:dyDescent="0.25"/>
  <cols>
    <col min="2" max="2" width="37.140625" customWidth="1"/>
    <col min="3" max="3" width="17" customWidth="1"/>
    <col min="4" max="4" width="22.7109375" customWidth="1"/>
    <col min="5" max="5" width="21.140625" customWidth="1"/>
  </cols>
  <sheetData>
    <row r="1" spans="1:6" x14ac:dyDescent="0.25">
      <c r="A1" s="1144" t="s">
        <v>0</v>
      </c>
      <c r="B1" s="1144" t="s">
        <v>276</v>
      </c>
      <c r="C1" s="1144" t="s">
        <v>277</v>
      </c>
      <c r="D1" s="1144" t="s">
        <v>278</v>
      </c>
      <c r="E1" s="1144" t="s">
        <v>279</v>
      </c>
      <c r="F1" s="430"/>
    </row>
    <row r="2" spans="1:6" x14ac:dyDescent="0.25">
      <c r="A2" s="1144"/>
      <c r="B2" s="1144"/>
      <c r="C2" s="1144"/>
      <c r="D2" s="1144"/>
      <c r="E2" s="1144"/>
      <c r="F2" s="430"/>
    </row>
    <row r="3" spans="1:6" x14ac:dyDescent="0.25">
      <c r="A3" s="1144"/>
      <c r="B3" s="1144"/>
      <c r="C3" s="1144"/>
      <c r="D3" s="1144"/>
      <c r="E3" s="1144"/>
      <c r="F3" s="430"/>
    </row>
    <row r="4" spans="1:6" ht="16.5" x14ac:dyDescent="0.25">
      <c r="A4" s="478">
        <v>1</v>
      </c>
      <c r="B4" s="478">
        <v>2</v>
      </c>
      <c r="C4" s="478">
        <v>3</v>
      </c>
      <c r="D4" s="478">
        <v>4</v>
      </c>
      <c r="E4" s="478">
        <v>5</v>
      </c>
      <c r="F4" s="430"/>
    </row>
    <row r="5" spans="1:6" x14ac:dyDescent="0.25">
      <c r="A5" s="1144" t="s">
        <v>5</v>
      </c>
      <c r="B5" s="1145" t="s">
        <v>280</v>
      </c>
      <c r="C5" s="1146" t="s">
        <v>241</v>
      </c>
      <c r="D5" s="1146" t="s">
        <v>337</v>
      </c>
      <c r="E5" s="1146" t="s">
        <v>170</v>
      </c>
      <c r="F5" s="430"/>
    </row>
    <row r="6" spans="1:6" ht="26.1" customHeight="1" x14ac:dyDescent="0.25">
      <c r="A6" s="1144"/>
      <c r="B6" s="1145"/>
      <c r="C6" s="1146"/>
      <c r="D6" s="1146"/>
      <c r="E6" s="1146"/>
      <c r="F6" s="430"/>
    </row>
    <row r="7" spans="1:6" ht="24.6" customHeight="1" x14ac:dyDescent="0.25">
      <c r="A7" s="479" t="s">
        <v>6</v>
      </c>
      <c r="B7" s="1147" t="s">
        <v>281</v>
      </c>
      <c r="C7" s="1147"/>
      <c r="D7" s="1147"/>
      <c r="E7" s="1147"/>
      <c r="F7" s="430"/>
    </row>
    <row r="8" spans="1:6" x14ac:dyDescent="0.25">
      <c r="A8" s="1148" t="s">
        <v>282</v>
      </c>
      <c r="B8" s="1149" t="e">
        <f>#REF!</f>
        <v>#REF!</v>
      </c>
      <c r="C8" s="1146" t="s">
        <v>283</v>
      </c>
      <c r="D8" s="1146" t="s">
        <v>290</v>
      </c>
      <c r="E8" s="1146" t="s">
        <v>284</v>
      </c>
      <c r="F8" s="430"/>
    </row>
    <row r="9" spans="1:6" ht="78.95" customHeight="1" x14ac:dyDescent="0.25">
      <c r="A9" s="1148"/>
      <c r="B9" s="1149"/>
      <c r="C9" s="1146"/>
      <c r="D9" s="1146"/>
      <c r="E9" s="1146"/>
      <c r="F9" s="430"/>
    </row>
    <row r="10" spans="1:6" ht="33" x14ac:dyDescent="0.25">
      <c r="A10" s="480" t="s">
        <v>285</v>
      </c>
      <c r="B10" s="481" t="e">
        <f>#REF!</f>
        <v>#REF!</v>
      </c>
      <c r="C10" s="478" t="s">
        <v>283</v>
      </c>
      <c r="D10" s="478" t="s">
        <v>286</v>
      </c>
      <c r="E10" s="478" t="s">
        <v>284</v>
      </c>
      <c r="F10" s="430"/>
    </row>
    <row r="11" spans="1:6" ht="16.5" x14ac:dyDescent="0.25">
      <c r="A11" s="479" t="s">
        <v>211</v>
      </c>
      <c r="B11" s="1147" t="s">
        <v>287</v>
      </c>
      <c r="C11" s="1147"/>
      <c r="D11" s="1147"/>
      <c r="E11" s="1147"/>
      <c r="F11" s="430"/>
    </row>
    <row r="12" spans="1:6" ht="16.5" x14ac:dyDescent="0.25">
      <c r="A12" s="479" t="s">
        <v>288</v>
      </c>
      <c r="B12" s="1147" t="s">
        <v>225</v>
      </c>
      <c r="C12" s="1147"/>
      <c r="D12" s="1147"/>
      <c r="E12" s="1147"/>
      <c r="F12" s="430"/>
    </row>
    <row r="13" spans="1:6" ht="14.45" customHeight="1" x14ac:dyDescent="0.25">
      <c r="A13" s="1151" t="s">
        <v>289</v>
      </c>
      <c r="B13" s="1149" t="e">
        <f>#REF!</f>
        <v>#REF!</v>
      </c>
      <c r="C13" s="1146" t="s">
        <v>257</v>
      </c>
      <c r="D13" s="1146" t="s">
        <v>290</v>
      </c>
      <c r="E13" s="1146" t="s">
        <v>284</v>
      </c>
      <c r="F13" s="430"/>
    </row>
    <row r="14" spans="1:6" ht="122.45" customHeight="1" x14ac:dyDescent="0.25">
      <c r="A14" s="1151"/>
      <c r="B14" s="1149"/>
      <c r="C14" s="1146"/>
      <c r="D14" s="1146"/>
      <c r="E14" s="1146"/>
      <c r="F14" s="430"/>
    </row>
    <row r="15" spans="1:6" ht="16.5" x14ac:dyDescent="0.25">
      <c r="A15" s="482" t="s">
        <v>291</v>
      </c>
      <c r="B15" s="481" t="e">
        <f>#REF!</f>
        <v>#REF!</v>
      </c>
      <c r="C15" s="478" t="s">
        <v>257</v>
      </c>
      <c r="D15" s="478" t="s">
        <v>290</v>
      </c>
      <c r="E15" s="478" t="s">
        <v>284</v>
      </c>
      <c r="F15" s="430"/>
    </row>
    <row r="16" spans="1:6" ht="17.45" customHeight="1" x14ac:dyDescent="0.25">
      <c r="A16" s="1151" t="s">
        <v>292</v>
      </c>
      <c r="B16" s="1152" t="e">
        <f>#REF!</f>
        <v>#REF!</v>
      </c>
      <c r="C16" s="1146" t="s">
        <v>257</v>
      </c>
      <c r="D16" s="1146" t="s">
        <v>293</v>
      </c>
      <c r="E16" s="1146" t="s">
        <v>284</v>
      </c>
      <c r="F16" s="1150"/>
    </row>
    <row r="17" spans="1:6" ht="70.5" customHeight="1" x14ac:dyDescent="0.25">
      <c r="A17" s="1151"/>
      <c r="B17" s="1153"/>
      <c r="C17" s="1146"/>
      <c r="D17" s="1146"/>
      <c r="E17" s="1146"/>
      <c r="F17" s="1150"/>
    </row>
    <row r="18" spans="1:6" ht="99" x14ac:dyDescent="0.25">
      <c r="A18" s="482" t="s">
        <v>294</v>
      </c>
      <c r="B18" s="481" t="s">
        <v>315</v>
      </c>
      <c r="C18" s="478" t="s">
        <v>257</v>
      </c>
      <c r="D18" s="478" t="s">
        <v>295</v>
      </c>
      <c r="E18" s="478" t="s">
        <v>284</v>
      </c>
      <c r="F18" s="430"/>
    </row>
    <row r="19" spans="1:6" ht="82.5" x14ac:dyDescent="0.25">
      <c r="A19" s="482" t="s">
        <v>296</v>
      </c>
      <c r="B19" s="481" t="s">
        <v>317</v>
      </c>
      <c r="C19" s="478" t="s">
        <v>257</v>
      </c>
      <c r="D19" s="478" t="s">
        <v>297</v>
      </c>
      <c r="E19" s="478" t="s">
        <v>284</v>
      </c>
      <c r="F19" s="430"/>
    </row>
    <row r="20" spans="1:6" ht="82.5" x14ac:dyDescent="0.25">
      <c r="A20" s="482" t="s">
        <v>298</v>
      </c>
      <c r="B20" s="481" t="s">
        <v>314</v>
      </c>
      <c r="C20" s="478" t="s">
        <v>257</v>
      </c>
      <c r="D20" s="483">
        <v>44531</v>
      </c>
      <c r="E20" s="478" t="s">
        <v>284</v>
      </c>
      <c r="F20" s="430"/>
    </row>
    <row r="21" spans="1:6" s="304" customFormat="1" ht="82.5" x14ac:dyDescent="0.25">
      <c r="A21" s="482" t="s">
        <v>318</v>
      </c>
      <c r="B21" s="481" t="s">
        <v>319</v>
      </c>
      <c r="C21" s="478" t="s">
        <v>320</v>
      </c>
      <c r="D21" s="483" t="s">
        <v>325</v>
      </c>
      <c r="E21" s="478" t="s">
        <v>326</v>
      </c>
      <c r="F21" s="430"/>
    </row>
    <row r="22" spans="1:6" ht="16.5" x14ac:dyDescent="0.25">
      <c r="A22" s="479" t="s">
        <v>299</v>
      </c>
      <c r="B22" s="1147" t="s">
        <v>233</v>
      </c>
      <c r="C22" s="1147"/>
      <c r="D22" s="1147"/>
      <c r="E22" s="1147"/>
      <c r="F22" s="430"/>
    </row>
    <row r="23" spans="1:6" ht="82.5" x14ac:dyDescent="0.25">
      <c r="A23" s="478" t="s">
        <v>300</v>
      </c>
      <c r="B23" s="481" t="s">
        <v>316</v>
      </c>
      <c r="C23" s="478" t="s">
        <v>257</v>
      </c>
      <c r="D23" s="478" t="s">
        <v>301</v>
      </c>
      <c r="E23" s="478" t="s">
        <v>284</v>
      </c>
      <c r="F23" s="430"/>
    </row>
    <row r="24" spans="1:6" ht="99" x14ac:dyDescent="0.25">
      <c r="A24" s="478" t="s">
        <v>302</v>
      </c>
      <c r="B24" s="481" t="s">
        <v>321</v>
      </c>
      <c r="C24" s="478" t="s">
        <v>322</v>
      </c>
      <c r="D24" s="478" t="s">
        <v>297</v>
      </c>
      <c r="E24" s="478" t="s">
        <v>284</v>
      </c>
      <c r="F24" s="430"/>
    </row>
    <row r="25" spans="1:6" ht="82.5" x14ac:dyDescent="0.25">
      <c r="A25" s="478" t="s">
        <v>303</v>
      </c>
      <c r="B25" s="481" t="s">
        <v>336</v>
      </c>
      <c r="C25" s="478" t="s">
        <v>320</v>
      </c>
      <c r="D25" s="478" t="s">
        <v>327</v>
      </c>
      <c r="E25" s="478" t="s">
        <v>284</v>
      </c>
      <c r="F25" s="430"/>
    </row>
    <row r="26" spans="1:6" ht="49.5" x14ac:dyDescent="0.25">
      <c r="A26" s="479" t="s">
        <v>304</v>
      </c>
      <c r="B26" s="484" t="s">
        <v>323</v>
      </c>
      <c r="C26" s="478" t="s">
        <v>324</v>
      </c>
      <c r="D26" s="478" t="s">
        <v>328</v>
      </c>
      <c r="E26" s="478" t="s">
        <v>284</v>
      </c>
      <c r="F26" s="430"/>
    </row>
    <row r="27" spans="1:6" ht="16.5" x14ac:dyDescent="0.25">
      <c r="A27" s="479" t="s">
        <v>259</v>
      </c>
      <c r="B27" s="1147" t="s">
        <v>305</v>
      </c>
      <c r="C27" s="1147"/>
      <c r="D27" s="1147"/>
      <c r="E27" s="1147"/>
      <c r="F27" s="430"/>
    </row>
    <row r="28" spans="1:6" ht="17.25" x14ac:dyDescent="0.25">
      <c r="A28" s="480" t="s">
        <v>306</v>
      </c>
      <c r="B28" s="485" t="s">
        <v>307</v>
      </c>
      <c r="C28" s="478" t="s">
        <v>308</v>
      </c>
      <c r="D28" s="483" t="s">
        <v>329</v>
      </c>
      <c r="E28" s="478" t="s">
        <v>309</v>
      </c>
      <c r="F28" s="430"/>
    </row>
    <row r="29" spans="1:6" ht="17.25" x14ac:dyDescent="0.25">
      <c r="A29" s="480" t="s">
        <v>262</v>
      </c>
      <c r="B29" s="485" t="s">
        <v>310</v>
      </c>
      <c r="C29" s="478" t="s">
        <v>308</v>
      </c>
      <c r="D29" s="483" t="s">
        <v>330</v>
      </c>
      <c r="E29" s="478" t="s">
        <v>311</v>
      </c>
      <c r="F29" s="430"/>
    </row>
    <row r="30" spans="1:6" ht="33" x14ac:dyDescent="0.25">
      <c r="A30" s="480" t="s">
        <v>273</v>
      </c>
      <c r="B30" s="485" t="s">
        <v>312</v>
      </c>
      <c r="C30" s="478" t="s">
        <v>313</v>
      </c>
      <c r="D30" s="483" t="s">
        <v>331</v>
      </c>
      <c r="E30" s="478" t="s">
        <v>309</v>
      </c>
      <c r="F30" s="430"/>
    </row>
  </sheetData>
  <mergeCells count="31">
    <mergeCell ref="B27:E27"/>
    <mergeCell ref="B16:B17"/>
    <mergeCell ref="A16:A17"/>
    <mergeCell ref="C16:C17"/>
    <mergeCell ref="D16:D17"/>
    <mergeCell ref="E16:E17"/>
    <mergeCell ref="F16:F17"/>
    <mergeCell ref="B22:E22"/>
    <mergeCell ref="B11:E11"/>
    <mergeCell ref="B12:E12"/>
    <mergeCell ref="A13:A14"/>
    <mergeCell ref="B13:B14"/>
    <mergeCell ref="C13:C14"/>
    <mergeCell ref="D13:D14"/>
    <mergeCell ref="E13:E14"/>
    <mergeCell ref="B7:E7"/>
    <mergeCell ref="A8:A9"/>
    <mergeCell ref="B8:B9"/>
    <mergeCell ref="C8:C9"/>
    <mergeCell ref="D8:D9"/>
    <mergeCell ref="E8:E9"/>
    <mergeCell ref="A1:A3"/>
    <mergeCell ref="B1:B3"/>
    <mergeCell ref="C1:C3"/>
    <mergeCell ref="D1:D3"/>
    <mergeCell ref="E1:E3"/>
    <mergeCell ref="A5:A6"/>
    <mergeCell ref="B5:B6"/>
    <mergeCell ref="C5:C6"/>
    <mergeCell ref="D5:D6"/>
    <mergeCell ref="E5:E6"/>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31"/>
  <sheetViews>
    <sheetView topLeftCell="A19" workbookViewId="0">
      <selection activeCell="E21" sqref="E21"/>
    </sheetView>
  </sheetViews>
  <sheetFormatPr defaultRowHeight="15" x14ac:dyDescent="0.25"/>
  <cols>
    <col min="2" max="2" width="31.140625" customWidth="1"/>
    <col min="3" max="3" width="13.28515625" customWidth="1"/>
    <col min="4" max="4" width="13.5703125" customWidth="1"/>
    <col min="5" max="5" width="15.28515625" customWidth="1"/>
  </cols>
  <sheetData>
    <row r="1" spans="1:6" x14ac:dyDescent="0.25">
      <c r="A1" s="1174" t="s">
        <v>0</v>
      </c>
      <c r="B1" s="1174" t="s">
        <v>276</v>
      </c>
      <c r="C1" s="1174" t="s">
        <v>277</v>
      </c>
      <c r="D1" s="1174" t="s">
        <v>338</v>
      </c>
      <c r="E1" s="1174" t="s">
        <v>279</v>
      </c>
      <c r="F1" s="430"/>
    </row>
    <row r="2" spans="1:6" x14ac:dyDescent="0.25">
      <c r="A2" s="1175"/>
      <c r="B2" s="1175"/>
      <c r="C2" s="1175"/>
      <c r="D2" s="1175"/>
      <c r="E2" s="1175"/>
      <c r="F2" s="430"/>
    </row>
    <row r="3" spans="1:6" ht="15.75" thickBot="1" x14ac:dyDescent="0.3">
      <c r="A3" s="1176"/>
      <c r="B3" s="1176"/>
      <c r="C3" s="1176"/>
      <c r="D3" s="1176"/>
      <c r="E3" s="1176"/>
      <c r="F3" s="430"/>
    </row>
    <row r="4" spans="1:6" ht="16.5" thickBot="1" x14ac:dyDescent="0.3">
      <c r="A4" s="486">
        <v>1</v>
      </c>
      <c r="B4" s="487">
        <v>2</v>
      </c>
      <c r="C4" s="487">
        <v>3</v>
      </c>
      <c r="D4" s="487">
        <v>4</v>
      </c>
      <c r="E4" s="487">
        <v>5</v>
      </c>
      <c r="F4" s="430"/>
    </row>
    <row r="5" spans="1:6" x14ac:dyDescent="0.25">
      <c r="A5" s="1174" t="s">
        <v>5</v>
      </c>
      <c r="B5" s="1177" t="s">
        <v>280</v>
      </c>
      <c r="C5" s="1163" t="s">
        <v>241</v>
      </c>
      <c r="D5" s="1163" t="s">
        <v>337</v>
      </c>
      <c r="E5" s="1163" t="s">
        <v>170</v>
      </c>
      <c r="F5" s="430"/>
    </row>
    <row r="6" spans="1:6" ht="15.75" thickBot="1" x14ac:dyDescent="0.3">
      <c r="A6" s="1176"/>
      <c r="B6" s="1178"/>
      <c r="C6" s="1164"/>
      <c r="D6" s="1164"/>
      <c r="E6" s="1164"/>
      <c r="F6" s="430"/>
    </row>
    <row r="7" spans="1:6" ht="16.5" thickBot="1" x14ac:dyDescent="0.3">
      <c r="A7" s="488" t="s">
        <v>6</v>
      </c>
      <c r="B7" s="1154" t="s">
        <v>281</v>
      </c>
      <c r="C7" s="1155"/>
      <c r="D7" s="1155"/>
      <c r="E7" s="1156"/>
      <c r="F7" s="430"/>
    </row>
    <row r="8" spans="1:6" x14ac:dyDescent="0.25">
      <c r="A8" s="1172" t="s">
        <v>282</v>
      </c>
      <c r="B8" s="1165" t="s">
        <v>339</v>
      </c>
      <c r="C8" s="1163" t="s">
        <v>283</v>
      </c>
      <c r="D8" s="1163" t="s">
        <v>340</v>
      </c>
      <c r="E8" s="1163" t="s">
        <v>284</v>
      </c>
      <c r="F8" s="430"/>
    </row>
    <row r="9" spans="1:6" ht="15.75" thickBot="1" x14ac:dyDescent="0.3">
      <c r="A9" s="1173"/>
      <c r="B9" s="1166"/>
      <c r="C9" s="1164"/>
      <c r="D9" s="1164"/>
      <c r="E9" s="1164"/>
      <c r="F9" s="430"/>
    </row>
    <row r="10" spans="1:6" ht="30.95" customHeight="1" x14ac:dyDescent="0.25">
      <c r="A10" s="1167" t="s">
        <v>285</v>
      </c>
      <c r="B10" s="1169" t="s">
        <v>341</v>
      </c>
      <c r="C10" s="1157" t="s">
        <v>283</v>
      </c>
      <c r="D10" s="1157" t="s">
        <v>286</v>
      </c>
      <c r="E10" s="1157" t="s">
        <v>284</v>
      </c>
      <c r="F10" s="1171"/>
    </row>
    <row r="11" spans="1:6" ht="15.75" thickBot="1" x14ac:dyDescent="0.3">
      <c r="A11" s="1168"/>
      <c r="B11" s="1170"/>
      <c r="C11" s="1158"/>
      <c r="D11" s="1158"/>
      <c r="E11" s="1158"/>
      <c r="F11" s="1171"/>
    </row>
    <row r="12" spans="1:6" ht="16.5" thickBot="1" x14ac:dyDescent="0.3">
      <c r="A12" s="488" t="s">
        <v>211</v>
      </c>
      <c r="B12" s="1154" t="s">
        <v>287</v>
      </c>
      <c r="C12" s="1155"/>
      <c r="D12" s="1155"/>
      <c r="E12" s="1156"/>
      <c r="F12" s="430"/>
    </row>
    <row r="13" spans="1:6" ht="16.5" thickBot="1" x14ac:dyDescent="0.3">
      <c r="A13" s="488" t="s">
        <v>288</v>
      </c>
      <c r="B13" s="1154" t="s">
        <v>225</v>
      </c>
      <c r="C13" s="1155"/>
      <c r="D13" s="1155"/>
      <c r="E13" s="1156"/>
      <c r="F13" s="430"/>
    </row>
    <row r="14" spans="1:6" x14ac:dyDescent="0.25">
      <c r="A14" s="1159" t="s">
        <v>289</v>
      </c>
      <c r="B14" s="1165" t="s">
        <v>342</v>
      </c>
      <c r="C14" s="1163" t="s">
        <v>257</v>
      </c>
      <c r="D14" s="1163" t="s">
        <v>340</v>
      </c>
      <c r="E14" s="1163" t="s">
        <v>284</v>
      </c>
      <c r="F14" s="430"/>
    </row>
    <row r="15" spans="1:6" ht="15.75" thickBot="1" x14ac:dyDescent="0.3">
      <c r="A15" s="1160"/>
      <c r="B15" s="1166"/>
      <c r="C15" s="1164"/>
      <c r="D15" s="1164"/>
      <c r="E15" s="1164"/>
      <c r="F15" s="430"/>
    </row>
    <row r="16" spans="1:6" ht="79.5" thickBot="1" x14ac:dyDescent="0.3">
      <c r="A16" s="490" t="s">
        <v>291</v>
      </c>
      <c r="B16" s="491" t="s">
        <v>343</v>
      </c>
      <c r="C16" s="487" t="s">
        <v>257</v>
      </c>
      <c r="D16" s="487" t="s">
        <v>340</v>
      </c>
      <c r="E16" s="487" t="s">
        <v>284</v>
      </c>
      <c r="F16" s="430"/>
    </row>
    <row r="17" spans="1:6" ht="50.45" customHeight="1" x14ac:dyDescent="0.25">
      <c r="A17" s="1159" t="s">
        <v>292</v>
      </c>
      <c r="B17" s="1161" t="s">
        <v>344</v>
      </c>
      <c r="C17" s="1163" t="s">
        <v>257</v>
      </c>
      <c r="D17" s="1163" t="s">
        <v>301</v>
      </c>
      <c r="E17" s="1163" t="s">
        <v>284</v>
      </c>
      <c r="F17" s="430"/>
    </row>
    <row r="18" spans="1:6" ht="15.75" thickBot="1" x14ac:dyDescent="0.3">
      <c r="A18" s="1160"/>
      <c r="B18" s="1162"/>
      <c r="C18" s="1164"/>
      <c r="D18" s="1164"/>
      <c r="E18" s="1164"/>
      <c r="F18" s="430"/>
    </row>
    <row r="19" spans="1:6" ht="111" thickBot="1" x14ac:dyDescent="0.3">
      <c r="A19" s="490" t="s">
        <v>294</v>
      </c>
      <c r="B19" s="491" t="s">
        <v>345</v>
      </c>
      <c r="C19" s="487" t="s">
        <v>257</v>
      </c>
      <c r="D19" s="487" t="s">
        <v>346</v>
      </c>
      <c r="E19" s="487" t="s">
        <v>284</v>
      </c>
      <c r="F19" s="430"/>
    </row>
    <row r="20" spans="1:6" ht="79.5" thickBot="1" x14ac:dyDescent="0.3">
      <c r="A20" s="490" t="s">
        <v>296</v>
      </c>
      <c r="B20" s="491" t="s">
        <v>347</v>
      </c>
      <c r="C20" s="487" t="s">
        <v>257</v>
      </c>
      <c r="D20" s="487" t="s">
        <v>297</v>
      </c>
      <c r="E20" s="487" t="s">
        <v>284</v>
      </c>
      <c r="F20" s="430"/>
    </row>
    <row r="21" spans="1:6" ht="95.25" thickBot="1" x14ac:dyDescent="0.3">
      <c r="A21" s="490" t="s">
        <v>298</v>
      </c>
      <c r="B21" s="491" t="s">
        <v>348</v>
      </c>
      <c r="C21" s="487" t="s">
        <v>257</v>
      </c>
      <c r="D21" s="492">
        <v>44531</v>
      </c>
      <c r="E21" s="487" t="s">
        <v>284</v>
      </c>
      <c r="F21" s="430"/>
    </row>
    <row r="22" spans="1:6" ht="95.25" thickBot="1" x14ac:dyDescent="0.3">
      <c r="A22" s="490" t="s">
        <v>318</v>
      </c>
      <c r="B22" s="491" t="s">
        <v>349</v>
      </c>
      <c r="C22" s="487" t="s">
        <v>320</v>
      </c>
      <c r="D22" s="487" t="s">
        <v>325</v>
      </c>
      <c r="E22" s="487" t="s">
        <v>326</v>
      </c>
      <c r="F22" s="430"/>
    </row>
    <row r="23" spans="1:6" ht="16.5" thickBot="1" x14ac:dyDescent="0.3">
      <c r="A23" s="488" t="s">
        <v>299</v>
      </c>
      <c r="B23" s="1154" t="s">
        <v>350</v>
      </c>
      <c r="C23" s="1155"/>
      <c r="D23" s="1155"/>
      <c r="E23" s="1156"/>
      <c r="F23" s="430"/>
    </row>
    <row r="24" spans="1:6" ht="95.25" thickBot="1" x14ac:dyDescent="0.3">
      <c r="A24" s="486" t="s">
        <v>300</v>
      </c>
      <c r="B24" s="491" t="s">
        <v>351</v>
      </c>
      <c r="C24" s="487" t="s">
        <v>257</v>
      </c>
      <c r="D24" s="489" t="s">
        <v>301</v>
      </c>
      <c r="E24" s="487" t="s">
        <v>284</v>
      </c>
      <c r="F24" s="430"/>
    </row>
    <row r="25" spans="1:6" ht="95.25" thickBot="1" x14ac:dyDescent="0.3">
      <c r="A25" s="486" t="s">
        <v>302</v>
      </c>
      <c r="B25" s="491" t="s">
        <v>352</v>
      </c>
      <c r="C25" s="487" t="s">
        <v>322</v>
      </c>
      <c r="D25" s="487" t="s">
        <v>297</v>
      </c>
      <c r="E25" s="487" t="s">
        <v>284</v>
      </c>
      <c r="F25" s="430"/>
    </row>
    <row r="26" spans="1:6" ht="95.25" thickBot="1" x14ac:dyDescent="0.3">
      <c r="A26" s="486" t="s">
        <v>303</v>
      </c>
      <c r="B26" s="491" t="s">
        <v>353</v>
      </c>
      <c r="C26" s="487" t="s">
        <v>320</v>
      </c>
      <c r="D26" s="487" t="s">
        <v>354</v>
      </c>
      <c r="E26" s="487" t="s">
        <v>284</v>
      </c>
      <c r="F26" s="430"/>
    </row>
    <row r="27" spans="1:6" ht="63.75" thickBot="1" x14ac:dyDescent="0.3">
      <c r="A27" s="488" t="s">
        <v>304</v>
      </c>
      <c r="B27" s="493" t="s">
        <v>323</v>
      </c>
      <c r="C27" s="487" t="s">
        <v>324</v>
      </c>
      <c r="D27" s="487" t="s">
        <v>355</v>
      </c>
      <c r="E27" s="487" t="s">
        <v>284</v>
      </c>
      <c r="F27" s="430"/>
    </row>
    <row r="28" spans="1:6" ht="16.5" thickBot="1" x14ac:dyDescent="0.3">
      <c r="A28" s="488" t="s">
        <v>259</v>
      </c>
      <c r="B28" s="1154" t="s">
        <v>305</v>
      </c>
      <c r="C28" s="1155"/>
      <c r="D28" s="1155"/>
      <c r="E28" s="1156"/>
      <c r="F28" s="430"/>
    </row>
    <row r="29" spans="1:6" ht="32.25" thickBot="1" x14ac:dyDescent="0.3">
      <c r="A29" s="494" t="s">
        <v>306</v>
      </c>
      <c r="B29" s="495" t="s">
        <v>307</v>
      </c>
      <c r="C29" s="487" t="s">
        <v>308</v>
      </c>
      <c r="D29" s="487" t="s">
        <v>356</v>
      </c>
      <c r="E29" s="487" t="s">
        <v>309</v>
      </c>
      <c r="F29" s="430"/>
    </row>
    <row r="30" spans="1:6" ht="32.25" thickBot="1" x14ac:dyDescent="0.3">
      <c r="A30" s="494" t="s">
        <v>262</v>
      </c>
      <c r="B30" s="495" t="s">
        <v>310</v>
      </c>
      <c r="C30" s="487" t="s">
        <v>308</v>
      </c>
      <c r="D30" s="487" t="s">
        <v>357</v>
      </c>
      <c r="E30" s="487" t="s">
        <v>311</v>
      </c>
      <c r="F30" s="430"/>
    </row>
    <row r="31" spans="1:6" ht="32.25" thickBot="1" x14ac:dyDescent="0.3">
      <c r="A31" s="494" t="s">
        <v>273</v>
      </c>
      <c r="B31" s="495" t="s">
        <v>312</v>
      </c>
      <c r="C31" s="487" t="s">
        <v>313</v>
      </c>
      <c r="D31" s="487" t="s">
        <v>358</v>
      </c>
      <c r="E31" s="487" t="s">
        <v>309</v>
      </c>
      <c r="F31" s="430"/>
    </row>
  </sheetData>
  <mergeCells count="36">
    <mergeCell ref="A5:A6"/>
    <mergeCell ref="B5:B6"/>
    <mergeCell ref="C5:C6"/>
    <mergeCell ref="D5:D6"/>
    <mergeCell ref="E5:E6"/>
    <mergeCell ref="A1:A3"/>
    <mergeCell ref="B1:B3"/>
    <mergeCell ref="C1:C3"/>
    <mergeCell ref="D1:D3"/>
    <mergeCell ref="E1:E3"/>
    <mergeCell ref="A8:A9"/>
    <mergeCell ref="B8:B9"/>
    <mergeCell ref="C8:C9"/>
    <mergeCell ref="D8:D9"/>
    <mergeCell ref="E8:E9"/>
    <mergeCell ref="C10:C11"/>
    <mergeCell ref="E10:E11"/>
    <mergeCell ref="F10:F11"/>
    <mergeCell ref="B12:E12"/>
    <mergeCell ref="B7:E7"/>
    <mergeCell ref="B28:E28"/>
    <mergeCell ref="D10:D11"/>
    <mergeCell ref="A17:A18"/>
    <mergeCell ref="B17:B18"/>
    <mergeCell ref="C17:C18"/>
    <mergeCell ref="D17:D18"/>
    <mergeCell ref="E17:E18"/>
    <mergeCell ref="B23:E23"/>
    <mergeCell ref="B13:E13"/>
    <mergeCell ref="A14:A15"/>
    <mergeCell ref="B14:B15"/>
    <mergeCell ref="C14:C15"/>
    <mergeCell ref="D14:D15"/>
    <mergeCell ref="E14:E15"/>
    <mergeCell ref="A10:A11"/>
    <mergeCell ref="B10:B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80"/>
  <sheetViews>
    <sheetView topLeftCell="A5" workbookViewId="0">
      <pane xSplit="4" ySplit="1" topLeftCell="E54" activePane="bottomRight" state="frozen"/>
      <selection activeCell="A5" sqref="A5"/>
      <selection pane="topRight" activeCell="D5" sqref="D5"/>
      <selection pane="bottomLeft" activeCell="A7" sqref="A7"/>
      <selection pane="bottomRight" activeCell="E7" sqref="E7"/>
    </sheetView>
  </sheetViews>
  <sheetFormatPr defaultRowHeight="15.75" x14ac:dyDescent="0.25"/>
  <cols>
    <col min="1" max="1" width="6.28515625" style="88" customWidth="1"/>
    <col min="2" max="2" width="47.42578125" style="88" customWidth="1"/>
    <col min="3" max="3" width="31.140625" style="88" customWidth="1"/>
    <col min="4" max="4" width="23.5703125" style="88" customWidth="1"/>
    <col min="5" max="5" width="13.7109375" style="88" customWidth="1"/>
    <col min="6" max="6" width="17.140625" style="88" customWidth="1"/>
    <col min="7" max="7" width="21.42578125" style="88" customWidth="1"/>
    <col min="8" max="8" width="18.42578125" style="87" customWidth="1"/>
    <col min="9" max="247" width="9" style="87"/>
    <col min="248" max="248" width="6.28515625" style="87" customWidth="1"/>
    <col min="249" max="249" width="37.28515625" style="87" customWidth="1"/>
    <col min="250" max="251" width="21.7109375" style="87" customWidth="1"/>
    <col min="252" max="252" width="11.28515625" style="87" customWidth="1"/>
    <col min="253" max="253" width="9.7109375" style="87" customWidth="1"/>
    <col min="254" max="255" width="11.42578125" style="87" customWidth="1"/>
    <col min="256" max="256" width="18.28515625" style="87" customWidth="1"/>
    <col min="257" max="257" width="17.7109375" style="87" customWidth="1"/>
    <col min="258" max="258" width="17.28515625" style="87" customWidth="1"/>
    <col min="259" max="259" width="17.42578125" style="87" customWidth="1"/>
    <col min="260" max="260" width="12.42578125" style="87" customWidth="1"/>
    <col min="261" max="261" width="19.7109375" style="87" customWidth="1"/>
    <col min="262" max="262" width="16.28515625" style="87" customWidth="1"/>
    <col min="263" max="503" width="9" style="87"/>
    <col min="504" max="504" width="6.28515625" style="87" customWidth="1"/>
    <col min="505" max="505" width="37.28515625" style="87" customWidth="1"/>
    <col min="506" max="507" width="21.7109375" style="87" customWidth="1"/>
    <col min="508" max="508" width="11.28515625" style="87" customWidth="1"/>
    <col min="509" max="509" width="9.7109375" style="87" customWidth="1"/>
    <col min="510" max="511" width="11.42578125" style="87" customWidth="1"/>
    <col min="512" max="512" width="18.28515625" style="87" customWidth="1"/>
    <col min="513" max="513" width="17.7109375" style="87" customWidth="1"/>
    <col min="514" max="514" width="17.28515625" style="87" customWidth="1"/>
    <col min="515" max="515" width="17.42578125" style="87" customWidth="1"/>
    <col min="516" max="516" width="12.42578125" style="87" customWidth="1"/>
    <col min="517" max="517" width="19.7109375" style="87" customWidth="1"/>
    <col min="518" max="518" width="16.28515625" style="87" customWidth="1"/>
    <col min="519" max="759" width="9" style="87"/>
    <col min="760" max="760" width="6.28515625" style="87" customWidth="1"/>
    <col min="761" max="761" width="37.28515625" style="87" customWidth="1"/>
    <col min="762" max="763" width="21.7109375" style="87" customWidth="1"/>
    <col min="764" max="764" width="11.28515625" style="87" customWidth="1"/>
    <col min="765" max="765" width="9.7109375" style="87" customWidth="1"/>
    <col min="766" max="767" width="11.42578125" style="87" customWidth="1"/>
    <col min="768" max="768" width="18.28515625" style="87" customWidth="1"/>
    <col min="769" max="769" width="17.7109375" style="87" customWidth="1"/>
    <col min="770" max="770" width="17.28515625" style="87" customWidth="1"/>
    <col min="771" max="771" width="17.42578125" style="87" customWidth="1"/>
    <col min="772" max="772" width="12.42578125" style="87" customWidth="1"/>
    <col min="773" max="773" width="19.7109375" style="87" customWidth="1"/>
    <col min="774" max="774" width="16.28515625" style="87" customWidth="1"/>
    <col min="775" max="1015" width="9" style="87"/>
    <col min="1016" max="1016" width="6.28515625" style="87" customWidth="1"/>
    <col min="1017" max="1017" width="37.28515625" style="87" customWidth="1"/>
    <col min="1018" max="1019" width="21.7109375" style="87" customWidth="1"/>
    <col min="1020" max="1020" width="11.28515625" style="87" customWidth="1"/>
    <col min="1021" max="1021" width="9.7109375" style="87" customWidth="1"/>
    <col min="1022" max="1023" width="11.42578125" style="87" customWidth="1"/>
    <col min="1024" max="1024" width="18.28515625" style="87" customWidth="1"/>
    <col min="1025" max="1025" width="17.7109375" style="87" customWidth="1"/>
    <col min="1026" max="1026" width="17.28515625" style="87" customWidth="1"/>
    <col min="1027" max="1027" width="17.42578125" style="87" customWidth="1"/>
    <col min="1028" max="1028" width="12.42578125" style="87" customWidth="1"/>
    <col min="1029" max="1029" width="19.7109375" style="87" customWidth="1"/>
    <col min="1030" max="1030" width="16.28515625" style="87" customWidth="1"/>
    <col min="1031" max="1271" width="9" style="87"/>
    <col min="1272" max="1272" width="6.28515625" style="87" customWidth="1"/>
    <col min="1273" max="1273" width="37.28515625" style="87" customWidth="1"/>
    <col min="1274" max="1275" width="21.7109375" style="87" customWidth="1"/>
    <col min="1276" max="1276" width="11.28515625" style="87" customWidth="1"/>
    <col min="1277" max="1277" width="9.7109375" style="87" customWidth="1"/>
    <col min="1278" max="1279" width="11.42578125" style="87" customWidth="1"/>
    <col min="1280" max="1280" width="18.28515625" style="87" customWidth="1"/>
    <col min="1281" max="1281" width="17.7109375" style="87" customWidth="1"/>
    <col min="1282" max="1282" width="17.28515625" style="87" customWidth="1"/>
    <col min="1283" max="1283" width="17.42578125" style="87" customWidth="1"/>
    <col min="1284" max="1284" width="12.42578125" style="87" customWidth="1"/>
    <col min="1285" max="1285" width="19.7109375" style="87" customWidth="1"/>
    <col min="1286" max="1286" width="16.28515625" style="87" customWidth="1"/>
    <col min="1287" max="1527" width="9" style="87"/>
    <col min="1528" max="1528" width="6.28515625" style="87" customWidth="1"/>
    <col min="1529" max="1529" width="37.28515625" style="87" customWidth="1"/>
    <col min="1530" max="1531" width="21.7109375" style="87" customWidth="1"/>
    <col min="1532" max="1532" width="11.28515625" style="87" customWidth="1"/>
    <col min="1533" max="1533" width="9.7109375" style="87" customWidth="1"/>
    <col min="1534" max="1535" width="11.42578125" style="87" customWidth="1"/>
    <col min="1536" max="1536" width="18.28515625" style="87" customWidth="1"/>
    <col min="1537" max="1537" width="17.7109375" style="87" customWidth="1"/>
    <col min="1538" max="1538" width="17.28515625" style="87" customWidth="1"/>
    <col min="1539" max="1539" width="17.42578125" style="87" customWidth="1"/>
    <col min="1540" max="1540" width="12.42578125" style="87" customWidth="1"/>
    <col min="1541" max="1541" width="19.7109375" style="87" customWidth="1"/>
    <col min="1542" max="1542" width="16.28515625" style="87" customWidth="1"/>
    <col min="1543" max="1783" width="9" style="87"/>
    <col min="1784" max="1784" width="6.28515625" style="87" customWidth="1"/>
    <col min="1785" max="1785" width="37.28515625" style="87" customWidth="1"/>
    <col min="1786" max="1787" width="21.7109375" style="87" customWidth="1"/>
    <col min="1788" max="1788" width="11.28515625" style="87" customWidth="1"/>
    <col min="1789" max="1789" width="9.7109375" style="87" customWidth="1"/>
    <col min="1790" max="1791" width="11.42578125" style="87" customWidth="1"/>
    <col min="1792" max="1792" width="18.28515625" style="87" customWidth="1"/>
    <col min="1793" max="1793" width="17.7109375" style="87" customWidth="1"/>
    <col min="1794" max="1794" width="17.28515625" style="87" customWidth="1"/>
    <col min="1795" max="1795" width="17.42578125" style="87" customWidth="1"/>
    <col min="1796" max="1796" width="12.42578125" style="87" customWidth="1"/>
    <col min="1797" max="1797" width="19.7109375" style="87" customWidth="1"/>
    <col min="1798" max="1798" width="16.28515625" style="87" customWidth="1"/>
    <col min="1799" max="2039" width="9" style="87"/>
    <col min="2040" max="2040" width="6.28515625" style="87" customWidth="1"/>
    <col min="2041" max="2041" width="37.28515625" style="87" customWidth="1"/>
    <col min="2042" max="2043" width="21.7109375" style="87" customWidth="1"/>
    <col min="2044" max="2044" width="11.28515625" style="87" customWidth="1"/>
    <col min="2045" max="2045" width="9.7109375" style="87" customWidth="1"/>
    <col min="2046" max="2047" width="11.42578125" style="87" customWidth="1"/>
    <col min="2048" max="2048" width="18.28515625" style="87" customWidth="1"/>
    <col min="2049" max="2049" width="17.7109375" style="87" customWidth="1"/>
    <col min="2050" max="2050" width="17.28515625" style="87" customWidth="1"/>
    <col min="2051" max="2051" width="17.42578125" style="87" customWidth="1"/>
    <col min="2052" max="2052" width="12.42578125" style="87" customWidth="1"/>
    <col min="2053" max="2053" width="19.7109375" style="87" customWidth="1"/>
    <col min="2054" max="2054" width="16.28515625" style="87" customWidth="1"/>
    <col min="2055" max="2295" width="9" style="87"/>
    <col min="2296" max="2296" width="6.28515625" style="87" customWidth="1"/>
    <col min="2297" max="2297" width="37.28515625" style="87" customWidth="1"/>
    <col min="2298" max="2299" width="21.7109375" style="87" customWidth="1"/>
    <col min="2300" max="2300" width="11.28515625" style="87" customWidth="1"/>
    <col min="2301" max="2301" width="9.7109375" style="87" customWidth="1"/>
    <col min="2302" max="2303" width="11.42578125" style="87" customWidth="1"/>
    <col min="2304" max="2304" width="18.28515625" style="87" customWidth="1"/>
    <col min="2305" max="2305" width="17.7109375" style="87" customWidth="1"/>
    <col min="2306" max="2306" width="17.28515625" style="87" customWidth="1"/>
    <col min="2307" max="2307" width="17.42578125" style="87" customWidth="1"/>
    <col min="2308" max="2308" width="12.42578125" style="87" customWidth="1"/>
    <col min="2309" max="2309" width="19.7109375" style="87" customWidth="1"/>
    <col min="2310" max="2310" width="16.28515625" style="87" customWidth="1"/>
    <col min="2311" max="2551" width="9" style="87"/>
    <col min="2552" max="2552" width="6.28515625" style="87" customWidth="1"/>
    <col min="2553" max="2553" width="37.28515625" style="87" customWidth="1"/>
    <col min="2554" max="2555" width="21.7109375" style="87" customWidth="1"/>
    <col min="2556" max="2556" width="11.28515625" style="87" customWidth="1"/>
    <col min="2557" max="2557" width="9.7109375" style="87" customWidth="1"/>
    <col min="2558" max="2559" width="11.42578125" style="87" customWidth="1"/>
    <col min="2560" max="2560" width="18.28515625" style="87" customWidth="1"/>
    <col min="2561" max="2561" width="17.7109375" style="87" customWidth="1"/>
    <col min="2562" max="2562" width="17.28515625" style="87" customWidth="1"/>
    <col min="2563" max="2563" width="17.42578125" style="87" customWidth="1"/>
    <col min="2564" max="2564" width="12.42578125" style="87" customWidth="1"/>
    <col min="2565" max="2565" width="19.7109375" style="87" customWidth="1"/>
    <col min="2566" max="2566" width="16.28515625" style="87" customWidth="1"/>
    <col min="2567" max="2807" width="9" style="87"/>
    <col min="2808" max="2808" width="6.28515625" style="87" customWidth="1"/>
    <col min="2809" max="2809" width="37.28515625" style="87" customWidth="1"/>
    <col min="2810" max="2811" width="21.7109375" style="87" customWidth="1"/>
    <col min="2812" max="2812" width="11.28515625" style="87" customWidth="1"/>
    <col min="2813" max="2813" width="9.7109375" style="87" customWidth="1"/>
    <col min="2814" max="2815" width="11.42578125" style="87" customWidth="1"/>
    <col min="2816" max="2816" width="18.28515625" style="87" customWidth="1"/>
    <col min="2817" max="2817" width="17.7109375" style="87" customWidth="1"/>
    <col min="2818" max="2818" width="17.28515625" style="87" customWidth="1"/>
    <col min="2819" max="2819" width="17.42578125" style="87" customWidth="1"/>
    <col min="2820" max="2820" width="12.42578125" style="87" customWidth="1"/>
    <col min="2821" max="2821" width="19.7109375" style="87" customWidth="1"/>
    <col min="2822" max="2822" width="16.28515625" style="87" customWidth="1"/>
    <col min="2823" max="3063" width="9" style="87"/>
    <col min="3064" max="3064" width="6.28515625" style="87" customWidth="1"/>
    <col min="3065" max="3065" width="37.28515625" style="87" customWidth="1"/>
    <col min="3066" max="3067" width="21.7109375" style="87" customWidth="1"/>
    <col min="3068" max="3068" width="11.28515625" style="87" customWidth="1"/>
    <col min="3069" max="3069" width="9.7109375" style="87" customWidth="1"/>
    <col min="3070" max="3071" width="11.42578125" style="87" customWidth="1"/>
    <col min="3072" max="3072" width="18.28515625" style="87" customWidth="1"/>
    <col min="3073" max="3073" width="17.7109375" style="87" customWidth="1"/>
    <col min="3074" max="3074" width="17.28515625" style="87" customWidth="1"/>
    <col min="3075" max="3075" width="17.42578125" style="87" customWidth="1"/>
    <col min="3076" max="3076" width="12.42578125" style="87" customWidth="1"/>
    <col min="3077" max="3077" width="19.7109375" style="87" customWidth="1"/>
    <col min="3078" max="3078" width="16.28515625" style="87" customWidth="1"/>
    <col min="3079" max="3319" width="9" style="87"/>
    <col min="3320" max="3320" width="6.28515625" style="87" customWidth="1"/>
    <col min="3321" max="3321" width="37.28515625" style="87" customWidth="1"/>
    <col min="3322" max="3323" width="21.7109375" style="87" customWidth="1"/>
    <col min="3324" max="3324" width="11.28515625" style="87" customWidth="1"/>
    <col min="3325" max="3325" width="9.7109375" style="87" customWidth="1"/>
    <col min="3326" max="3327" width="11.42578125" style="87" customWidth="1"/>
    <col min="3328" max="3328" width="18.28515625" style="87" customWidth="1"/>
    <col min="3329" max="3329" width="17.7109375" style="87" customWidth="1"/>
    <col min="3330" max="3330" width="17.28515625" style="87" customWidth="1"/>
    <col min="3331" max="3331" width="17.42578125" style="87" customWidth="1"/>
    <col min="3332" max="3332" width="12.42578125" style="87" customWidth="1"/>
    <col min="3333" max="3333" width="19.7109375" style="87" customWidth="1"/>
    <col min="3334" max="3334" width="16.28515625" style="87" customWidth="1"/>
    <col min="3335" max="3575" width="9" style="87"/>
    <col min="3576" max="3576" width="6.28515625" style="87" customWidth="1"/>
    <col min="3577" max="3577" width="37.28515625" style="87" customWidth="1"/>
    <col min="3578" max="3579" width="21.7109375" style="87" customWidth="1"/>
    <col min="3580" max="3580" width="11.28515625" style="87" customWidth="1"/>
    <col min="3581" max="3581" width="9.7109375" style="87" customWidth="1"/>
    <col min="3582" max="3583" width="11.42578125" style="87" customWidth="1"/>
    <col min="3584" max="3584" width="18.28515625" style="87" customWidth="1"/>
    <col min="3585" max="3585" width="17.7109375" style="87" customWidth="1"/>
    <col min="3586" max="3586" width="17.28515625" style="87" customWidth="1"/>
    <col min="3587" max="3587" width="17.42578125" style="87" customWidth="1"/>
    <col min="3588" max="3588" width="12.42578125" style="87" customWidth="1"/>
    <col min="3589" max="3589" width="19.7109375" style="87" customWidth="1"/>
    <col min="3590" max="3590" width="16.28515625" style="87" customWidth="1"/>
    <col min="3591" max="3831" width="9" style="87"/>
    <col min="3832" max="3832" width="6.28515625" style="87" customWidth="1"/>
    <col min="3833" max="3833" width="37.28515625" style="87" customWidth="1"/>
    <col min="3834" max="3835" width="21.7109375" style="87" customWidth="1"/>
    <col min="3836" max="3836" width="11.28515625" style="87" customWidth="1"/>
    <col min="3837" max="3837" width="9.7109375" style="87" customWidth="1"/>
    <col min="3838" max="3839" width="11.42578125" style="87" customWidth="1"/>
    <col min="3840" max="3840" width="18.28515625" style="87" customWidth="1"/>
    <col min="3841" max="3841" width="17.7109375" style="87" customWidth="1"/>
    <col min="3842" max="3842" width="17.28515625" style="87" customWidth="1"/>
    <col min="3843" max="3843" width="17.42578125" style="87" customWidth="1"/>
    <col min="3844" max="3844" width="12.42578125" style="87" customWidth="1"/>
    <col min="3845" max="3845" width="19.7109375" style="87" customWidth="1"/>
    <col min="3846" max="3846" width="16.28515625" style="87" customWidth="1"/>
    <col min="3847" max="4087" width="9" style="87"/>
    <col min="4088" max="4088" width="6.28515625" style="87" customWidth="1"/>
    <col min="4089" max="4089" width="37.28515625" style="87" customWidth="1"/>
    <col min="4090" max="4091" width="21.7109375" style="87" customWidth="1"/>
    <col min="4092" max="4092" width="11.28515625" style="87" customWidth="1"/>
    <col min="4093" max="4093" width="9.7109375" style="87" customWidth="1"/>
    <col min="4094" max="4095" width="11.42578125" style="87" customWidth="1"/>
    <col min="4096" max="4096" width="18.28515625" style="87" customWidth="1"/>
    <col min="4097" max="4097" width="17.7109375" style="87" customWidth="1"/>
    <col min="4098" max="4098" width="17.28515625" style="87" customWidth="1"/>
    <col min="4099" max="4099" width="17.42578125" style="87" customWidth="1"/>
    <col min="4100" max="4100" width="12.42578125" style="87" customWidth="1"/>
    <col min="4101" max="4101" width="19.7109375" style="87" customWidth="1"/>
    <col min="4102" max="4102" width="16.28515625" style="87" customWidth="1"/>
    <col min="4103" max="4343" width="9" style="87"/>
    <col min="4344" max="4344" width="6.28515625" style="87" customWidth="1"/>
    <col min="4345" max="4345" width="37.28515625" style="87" customWidth="1"/>
    <col min="4346" max="4347" width="21.7109375" style="87" customWidth="1"/>
    <col min="4348" max="4348" width="11.28515625" style="87" customWidth="1"/>
    <col min="4349" max="4349" width="9.7109375" style="87" customWidth="1"/>
    <col min="4350" max="4351" width="11.42578125" style="87" customWidth="1"/>
    <col min="4352" max="4352" width="18.28515625" style="87" customWidth="1"/>
    <col min="4353" max="4353" width="17.7109375" style="87" customWidth="1"/>
    <col min="4354" max="4354" width="17.28515625" style="87" customWidth="1"/>
    <col min="4355" max="4355" width="17.42578125" style="87" customWidth="1"/>
    <col min="4356" max="4356" width="12.42578125" style="87" customWidth="1"/>
    <col min="4357" max="4357" width="19.7109375" style="87" customWidth="1"/>
    <col min="4358" max="4358" width="16.28515625" style="87" customWidth="1"/>
    <col min="4359" max="4599" width="9" style="87"/>
    <col min="4600" max="4600" width="6.28515625" style="87" customWidth="1"/>
    <col min="4601" max="4601" width="37.28515625" style="87" customWidth="1"/>
    <col min="4602" max="4603" width="21.7109375" style="87" customWidth="1"/>
    <col min="4604" max="4604" width="11.28515625" style="87" customWidth="1"/>
    <col min="4605" max="4605" width="9.7109375" style="87" customWidth="1"/>
    <col min="4606" max="4607" width="11.42578125" style="87" customWidth="1"/>
    <col min="4608" max="4608" width="18.28515625" style="87" customWidth="1"/>
    <col min="4609" max="4609" width="17.7109375" style="87" customWidth="1"/>
    <col min="4610" max="4610" width="17.28515625" style="87" customWidth="1"/>
    <col min="4611" max="4611" width="17.42578125" style="87" customWidth="1"/>
    <col min="4612" max="4612" width="12.42578125" style="87" customWidth="1"/>
    <col min="4613" max="4613" width="19.7109375" style="87" customWidth="1"/>
    <col min="4614" max="4614" width="16.28515625" style="87" customWidth="1"/>
    <col min="4615" max="4855" width="9" style="87"/>
    <col min="4856" max="4856" width="6.28515625" style="87" customWidth="1"/>
    <col min="4857" max="4857" width="37.28515625" style="87" customWidth="1"/>
    <col min="4858" max="4859" width="21.7109375" style="87" customWidth="1"/>
    <col min="4860" max="4860" width="11.28515625" style="87" customWidth="1"/>
    <col min="4861" max="4861" width="9.7109375" style="87" customWidth="1"/>
    <col min="4862" max="4863" width="11.42578125" style="87" customWidth="1"/>
    <col min="4864" max="4864" width="18.28515625" style="87" customWidth="1"/>
    <col min="4865" max="4865" width="17.7109375" style="87" customWidth="1"/>
    <col min="4866" max="4866" width="17.28515625" style="87" customWidth="1"/>
    <col min="4867" max="4867" width="17.42578125" style="87" customWidth="1"/>
    <col min="4868" max="4868" width="12.42578125" style="87" customWidth="1"/>
    <col min="4869" max="4869" width="19.7109375" style="87" customWidth="1"/>
    <col min="4870" max="4870" width="16.28515625" style="87" customWidth="1"/>
    <col min="4871" max="5111" width="9" style="87"/>
    <col min="5112" max="5112" width="6.28515625" style="87" customWidth="1"/>
    <col min="5113" max="5113" width="37.28515625" style="87" customWidth="1"/>
    <col min="5114" max="5115" width="21.7109375" style="87" customWidth="1"/>
    <col min="5116" max="5116" width="11.28515625" style="87" customWidth="1"/>
    <col min="5117" max="5117" width="9.7109375" style="87" customWidth="1"/>
    <col min="5118" max="5119" width="11.42578125" style="87" customWidth="1"/>
    <col min="5120" max="5120" width="18.28515625" style="87" customWidth="1"/>
    <col min="5121" max="5121" width="17.7109375" style="87" customWidth="1"/>
    <col min="5122" max="5122" width="17.28515625" style="87" customWidth="1"/>
    <col min="5123" max="5123" width="17.42578125" style="87" customWidth="1"/>
    <col min="5124" max="5124" width="12.42578125" style="87" customWidth="1"/>
    <col min="5125" max="5125" width="19.7109375" style="87" customWidth="1"/>
    <col min="5126" max="5126" width="16.28515625" style="87" customWidth="1"/>
    <col min="5127" max="5367" width="9" style="87"/>
    <col min="5368" max="5368" width="6.28515625" style="87" customWidth="1"/>
    <col min="5369" max="5369" width="37.28515625" style="87" customWidth="1"/>
    <col min="5370" max="5371" width="21.7109375" style="87" customWidth="1"/>
    <col min="5372" max="5372" width="11.28515625" style="87" customWidth="1"/>
    <col min="5373" max="5373" width="9.7109375" style="87" customWidth="1"/>
    <col min="5374" max="5375" width="11.42578125" style="87" customWidth="1"/>
    <col min="5376" max="5376" width="18.28515625" style="87" customWidth="1"/>
    <col min="5377" max="5377" width="17.7109375" style="87" customWidth="1"/>
    <col min="5378" max="5378" width="17.28515625" style="87" customWidth="1"/>
    <col min="5379" max="5379" width="17.42578125" style="87" customWidth="1"/>
    <col min="5380" max="5380" width="12.42578125" style="87" customWidth="1"/>
    <col min="5381" max="5381" width="19.7109375" style="87" customWidth="1"/>
    <col min="5382" max="5382" width="16.28515625" style="87" customWidth="1"/>
    <col min="5383" max="5623" width="9" style="87"/>
    <col min="5624" max="5624" width="6.28515625" style="87" customWidth="1"/>
    <col min="5625" max="5625" width="37.28515625" style="87" customWidth="1"/>
    <col min="5626" max="5627" width="21.7109375" style="87" customWidth="1"/>
    <col min="5628" max="5628" width="11.28515625" style="87" customWidth="1"/>
    <col min="5629" max="5629" width="9.7109375" style="87" customWidth="1"/>
    <col min="5630" max="5631" width="11.42578125" style="87" customWidth="1"/>
    <col min="5632" max="5632" width="18.28515625" style="87" customWidth="1"/>
    <col min="5633" max="5633" width="17.7109375" style="87" customWidth="1"/>
    <col min="5634" max="5634" width="17.28515625" style="87" customWidth="1"/>
    <col min="5635" max="5635" width="17.42578125" style="87" customWidth="1"/>
    <col min="5636" max="5636" width="12.42578125" style="87" customWidth="1"/>
    <col min="5637" max="5637" width="19.7109375" style="87" customWidth="1"/>
    <col min="5638" max="5638" width="16.28515625" style="87" customWidth="1"/>
    <col min="5639" max="5879" width="9" style="87"/>
    <col min="5880" max="5880" width="6.28515625" style="87" customWidth="1"/>
    <col min="5881" max="5881" width="37.28515625" style="87" customWidth="1"/>
    <col min="5882" max="5883" width="21.7109375" style="87" customWidth="1"/>
    <col min="5884" max="5884" width="11.28515625" style="87" customWidth="1"/>
    <col min="5885" max="5885" width="9.7109375" style="87" customWidth="1"/>
    <col min="5886" max="5887" width="11.42578125" style="87" customWidth="1"/>
    <col min="5888" max="5888" width="18.28515625" style="87" customWidth="1"/>
    <col min="5889" max="5889" width="17.7109375" style="87" customWidth="1"/>
    <col min="5890" max="5890" width="17.28515625" style="87" customWidth="1"/>
    <col min="5891" max="5891" width="17.42578125" style="87" customWidth="1"/>
    <col min="5892" max="5892" width="12.42578125" style="87" customWidth="1"/>
    <col min="5893" max="5893" width="19.7109375" style="87" customWidth="1"/>
    <col min="5894" max="5894" width="16.28515625" style="87" customWidth="1"/>
    <col min="5895" max="6135" width="9" style="87"/>
    <col min="6136" max="6136" width="6.28515625" style="87" customWidth="1"/>
    <col min="6137" max="6137" width="37.28515625" style="87" customWidth="1"/>
    <col min="6138" max="6139" width="21.7109375" style="87" customWidth="1"/>
    <col min="6140" max="6140" width="11.28515625" style="87" customWidth="1"/>
    <col min="6141" max="6141" width="9.7109375" style="87" customWidth="1"/>
    <col min="6142" max="6143" width="11.42578125" style="87" customWidth="1"/>
    <col min="6144" max="6144" width="18.28515625" style="87" customWidth="1"/>
    <col min="6145" max="6145" width="17.7109375" style="87" customWidth="1"/>
    <col min="6146" max="6146" width="17.28515625" style="87" customWidth="1"/>
    <col min="6147" max="6147" width="17.42578125" style="87" customWidth="1"/>
    <col min="6148" max="6148" width="12.42578125" style="87" customWidth="1"/>
    <col min="6149" max="6149" width="19.7109375" style="87" customWidth="1"/>
    <col min="6150" max="6150" width="16.28515625" style="87" customWidth="1"/>
    <col min="6151" max="6391" width="9" style="87"/>
    <col min="6392" max="6392" width="6.28515625" style="87" customWidth="1"/>
    <col min="6393" max="6393" width="37.28515625" style="87" customWidth="1"/>
    <col min="6394" max="6395" width="21.7109375" style="87" customWidth="1"/>
    <col min="6396" max="6396" width="11.28515625" style="87" customWidth="1"/>
    <col min="6397" max="6397" width="9.7109375" style="87" customWidth="1"/>
    <col min="6398" max="6399" width="11.42578125" style="87" customWidth="1"/>
    <col min="6400" max="6400" width="18.28515625" style="87" customWidth="1"/>
    <col min="6401" max="6401" width="17.7109375" style="87" customWidth="1"/>
    <col min="6402" max="6402" width="17.28515625" style="87" customWidth="1"/>
    <col min="6403" max="6403" width="17.42578125" style="87" customWidth="1"/>
    <col min="6404" max="6404" width="12.42578125" style="87" customWidth="1"/>
    <col min="6405" max="6405" width="19.7109375" style="87" customWidth="1"/>
    <col min="6406" max="6406" width="16.28515625" style="87" customWidth="1"/>
    <col min="6407" max="6647" width="9" style="87"/>
    <col min="6648" max="6648" width="6.28515625" style="87" customWidth="1"/>
    <col min="6649" max="6649" width="37.28515625" style="87" customWidth="1"/>
    <col min="6650" max="6651" width="21.7109375" style="87" customWidth="1"/>
    <col min="6652" max="6652" width="11.28515625" style="87" customWidth="1"/>
    <col min="6653" max="6653" width="9.7109375" style="87" customWidth="1"/>
    <col min="6654" max="6655" width="11.42578125" style="87" customWidth="1"/>
    <col min="6656" max="6656" width="18.28515625" style="87" customWidth="1"/>
    <col min="6657" max="6657" width="17.7109375" style="87" customWidth="1"/>
    <col min="6658" max="6658" width="17.28515625" style="87" customWidth="1"/>
    <col min="6659" max="6659" width="17.42578125" style="87" customWidth="1"/>
    <col min="6660" max="6660" width="12.42578125" style="87" customWidth="1"/>
    <col min="6661" max="6661" width="19.7109375" style="87" customWidth="1"/>
    <col min="6662" max="6662" width="16.28515625" style="87" customWidth="1"/>
    <col min="6663" max="6903" width="9" style="87"/>
    <col min="6904" max="6904" width="6.28515625" style="87" customWidth="1"/>
    <col min="6905" max="6905" width="37.28515625" style="87" customWidth="1"/>
    <col min="6906" max="6907" width="21.7109375" style="87" customWidth="1"/>
    <col min="6908" max="6908" width="11.28515625" style="87" customWidth="1"/>
    <col min="6909" max="6909" width="9.7109375" style="87" customWidth="1"/>
    <col min="6910" max="6911" width="11.42578125" style="87" customWidth="1"/>
    <col min="6912" max="6912" width="18.28515625" style="87" customWidth="1"/>
    <col min="6913" max="6913" width="17.7109375" style="87" customWidth="1"/>
    <col min="6914" max="6914" width="17.28515625" style="87" customWidth="1"/>
    <col min="6915" max="6915" width="17.42578125" style="87" customWidth="1"/>
    <col min="6916" max="6916" width="12.42578125" style="87" customWidth="1"/>
    <col min="6917" max="6917" width="19.7109375" style="87" customWidth="1"/>
    <col min="6918" max="6918" width="16.28515625" style="87" customWidth="1"/>
    <col min="6919" max="7159" width="9" style="87"/>
    <col min="7160" max="7160" width="6.28515625" style="87" customWidth="1"/>
    <col min="7161" max="7161" width="37.28515625" style="87" customWidth="1"/>
    <col min="7162" max="7163" width="21.7109375" style="87" customWidth="1"/>
    <col min="7164" max="7164" width="11.28515625" style="87" customWidth="1"/>
    <col min="7165" max="7165" width="9.7109375" style="87" customWidth="1"/>
    <col min="7166" max="7167" width="11.42578125" style="87" customWidth="1"/>
    <col min="7168" max="7168" width="18.28515625" style="87" customWidth="1"/>
    <col min="7169" max="7169" width="17.7109375" style="87" customWidth="1"/>
    <col min="7170" max="7170" width="17.28515625" style="87" customWidth="1"/>
    <col min="7171" max="7171" width="17.42578125" style="87" customWidth="1"/>
    <col min="7172" max="7172" width="12.42578125" style="87" customWidth="1"/>
    <col min="7173" max="7173" width="19.7109375" style="87" customWidth="1"/>
    <col min="7174" max="7174" width="16.28515625" style="87" customWidth="1"/>
    <col min="7175" max="7415" width="9" style="87"/>
    <col min="7416" max="7416" width="6.28515625" style="87" customWidth="1"/>
    <col min="7417" max="7417" width="37.28515625" style="87" customWidth="1"/>
    <col min="7418" max="7419" width="21.7109375" style="87" customWidth="1"/>
    <col min="7420" max="7420" width="11.28515625" style="87" customWidth="1"/>
    <col min="7421" max="7421" width="9.7109375" style="87" customWidth="1"/>
    <col min="7422" max="7423" width="11.42578125" style="87" customWidth="1"/>
    <col min="7424" max="7424" width="18.28515625" style="87" customWidth="1"/>
    <col min="7425" max="7425" width="17.7109375" style="87" customWidth="1"/>
    <col min="7426" max="7426" width="17.28515625" style="87" customWidth="1"/>
    <col min="7427" max="7427" width="17.42578125" style="87" customWidth="1"/>
    <col min="7428" max="7428" width="12.42578125" style="87" customWidth="1"/>
    <col min="7429" max="7429" width="19.7109375" style="87" customWidth="1"/>
    <col min="7430" max="7430" width="16.28515625" style="87" customWidth="1"/>
    <col min="7431" max="7671" width="9" style="87"/>
    <col min="7672" max="7672" width="6.28515625" style="87" customWidth="1"/>
    <col min="7673" max="7673" width="37.28515625" style="87" customWidth="1"/>
    <col min="7674" max="7675" width="21.7109375" style="87" customWidth="1"/>
    <col min="7676" max="7676" width="11.28515625" style="87" customWidth="1"/>
    <col min="7677" max="7677" width="9.7109375" style="87" customWidth="1"/>
    <col min="7678" max="7679" width="11.42578125" style="87" customWidth="1"/>
    <col min="7680" max="7680" width="18.28515625" style="87" customWidth="1"/>
    <col min="7681" max="7681" width="17.7109375" style="87" customWidth="1"/>
    <col min="7682" max="7682" width="17.28515625" style="87" customWidth="1"/>
    <col min="7683" max="7683" width="17.42578125" style="87" customWidth="1"/>
    <col min="7684" max="7684" width="12.42578125" style="87" customWidth="1"/>
    <col min="7685" max="7685" width="19.7109375" style="87" customWidth="1"/>
    <col min="7686" max="7686" width="16.28515625" style="87" customWidth="1"/>
    <col min="7687" max="7927" width="9" style="87"/>
    <col min="7928" max="7928" width="6.28515625" style="87" customWidth="1"/>
    <col min="7929" max="7929" width="37.28515625" style="87" customWidth="1"/>
    <col min="7930" max="7931" width="21.7109375" style="87" customWidth="1"/>
    <col min="7932" max="7932" width="11.28515625" style="87" customWidth="1"/>
    <col min="7933" max="7933" width="9.7109375" style="87" customWidth="1"/>
    <col min="7934" max="7935" width="11.42578125" style="87" customWidth="1"/>
    <col min="7936" max="7936" width="18.28515625" style="87" customWidth="1"/>
    <col min="7937" max="7937" width="17.7109375" style="87" customWidth="1"/>
    <col min="7938" max="7938" width="17.28515625" style="87" customWidth="1"/>
    <col min="7939" max="7939" width="17.42578125" style="87" customWidth="1"/>
    <col min="7940" max="7940" width="12.42578125" style="87" customWidth="1"/>
    <col min="7941" max="7941" width="19.7109375" style="87" customWidth="1"/>
    <col min="7942" max="7942" width="16.28515625" style="87" customWidth="1"/>
    <col min="7943" max="8183" width="9" style="87"/>
    <col min="8184" max="8184" width="6.28515625" style="87" customWidth="1"/>
    <col min="8185" max="8185" width="37.28515625" style="87" customWidth="1"/>
    <col min="8186" max="8187" width="21.7109375" style="87" customWidth="1"/>
    <col min="8188" max="8188" width="11.28515625" style="87" customWidth="1"/>
    <col min="8189" max="8189" width="9.7109375" style="87" customWidth="1"/>
    <col min="8190" max="8191" width="11.42578125" style="87" customWidth="1"/>
    <col min="8192" max="8192" width="18.28515625" style="87" customWidth="1"/>
    <col min="8193" max="8193" width="17.7109375" style="87" customWidth="1"/>
    <col min="8194" max="8194" width="17.28515625" style="87" customWidth="1"/>
    <col min="8195" max="8195" width="17.42578125" style="87" customWidth="1"/>
    <col min="8196" max="8196" width="12.42578125" style="87" customWidth="1"/>
    <col min="8197" max="8197" width="19.7109375" style="87" customWidth="1"/>
    <col min="8198" max="8198" width="16.28515625" style="87" customWidth="1"/>
    <col min="8199" max="8439" width="9" style="87"/>
    <col min="8440" max="8440" width="6.28515625" style="87" customWidth="1"/>
    <col min="8441" max="8441" width="37.28515625" style="87" customWidth="1"/>
    <col min="8442" max="8443" width="21.7109375" style="87" customWidth="1"/>
    <col min="8444" max="8444" width="11.28515625" style="87" customWidth="1"/>
    <col min="8445" max="8445" width="9.7109375" style="87" customWidth="1"/>
    <col min="8446" max="8447" width="11.42578125" style="87" customWidth="1"/>
    <col min="8448" max="8448" width="18.28515625" style="87" customWidth="1"/>
    <col min="8449" max="8449" width="17.7109375" style="87" customWidth="1"/>
    <col min="8450" max="8450" width="17.28515625" style="87" customWidth="1"/>
    <col min="8451" max="8451" width="17.42578125" style="87" customWidth="1"/>
    <col min="8452" max="8452" width="12.42578125" style="87" customWidth="1"/>
    <col min="8453" max="8453" width="19.7109375" style="87" customWidth="1"/>
    <col min="8454" max="8454" width="16.28515625" style="87" customWidth="1"/>
    <col min="8455" max="8695" width="9" style="87"/>
    <col min="8696" max="8696" width="6.28515625" style="87" customWidth="1"/>
    <col min="8697" max="8697" width="37.28515625" style="87" customWidth="1"/>
    <col min="8698" max="8699" width="21.7109375" style="87" customWidth="1"/>
    <col min="8700" max="8700" width="11.28515625" style="87" customWidth="1"/>
    <col min="8701" max="8701" width="9.7109375" style="87" customWidth="1"/>
    <col min="8702" max="8703" width="11.42578125" style="87" customWidth="1"/>
    <col min="8704" max="8704" width="18.28515625" style="87" customWidth="1"/>
    <col min="8705" max="8705" width="17.7109375" style="87" customWidth="1"/>
    <col min="8706" max="8706" width="17.28515625" style="87" customWidth="1"/>
    <col min="8707" max="8707" width="17.42578125" style="87" customWidth="1"/>
    <col min="8708" max="8708" width="12.42578125" style="87" customWidth="1"/>
    <col min="8709" max="8709" width="19.7109375" style="87" customWidth="1"/>
    <col min="8710" max="8710" width="16.28515625" style="87" customWidth="1"/>
    <col min="8711" max="8951" width="9" style="87"/>
    <col min="8952" max="8952" width="6.28515625" style="87" customWidth="1"/>
    <col min="8953" max="8953" width="37.28515625" style="87" customWidth="1"/>
    <col min="8954" max="8955" width="21.7109375" style="87" customWidth="1"/>
    <col min="8956" max="8956" width="11.28515625" style="87" customWidth="1"/>
    <col min="8957" max="8957" width="9.7109375" style="87" customWidth="1"/>
    <col min="8958" max="8959" width="11.42578125" style="87" customWidth="1"/>
    <col min="8960" max="8960" width="18.28515625" style="87" customWidth="1"/>
    <col min="8961" max="8961" width="17.7109375" style="87" customWidth="1"/>
    <col min="8962" max="8962" width="17.28515625" style="87" customWidth="1"/>
    <col min="8963" max="8963" width="17.42578125" style="87" customWidth="1"/>
    <col min="8964" max="8964" width="12.42578125" style="87" customWidth="1"/>
    <col min="8965" max="8965" width="19.7109375" style="87" customWidth="1"/>
    <col min="8966" max="8966" width="16.28515625" style="87" customWidth="1"/>
    <col min="8967" max="9207" width="9" style="87"/>
    <col min="9208" max="9208" width="6.28515625" style="87" customWidth="1"/>
    <col min="9209" max="9209" width="37.28515625" style="87" customWidth="1"/>
    <col min="9210" max="9211" width="21.7109375" style="87" customWidth="1"/>
    <col min="9212" max="9212" width="11.28515625" style="87" customWidth="1"/>
    <col min="9213" max="9213" width="9.7109375" style="87" customWidth="1"/>
    <col min="9214" max="9215" width="11.42578125" style="87" customWidth="1"/>
    <col min="9216" max="9216" width="18.28515625" style="87" customWidth="1"/>
    <col min="9217" max="9217" width="17.7109375" style="87" customWidth="1"/>
    <col min="9218" max="9218" width="17.28515625" style="87" customWidth="1"/>
    <col min="9219" max="9219" width="17.42578125" style="87" customWidth="1"/>
    <col min="9220" max="9220" width="12.42578125" style="87" customWidth="1"/>
    <col min="9221" max="9221" width="19.7109375" style="87" customWidth="1"/>
    <col min="9222" max="9222" width="16.28515625" style="87" customWidth="1"/>
    <col min="9223" max="9463" width="9" style="87"/>
    <col min="9464" max="9464" width="6.28515625" style="87" customWidth="1"/>
    <col min="9465" max="9465" width="37.28515625" style="87" customWidth="1"/>
    <col min="9466" max="9467" width="21.7109375" style="87" customWidth="1"/>
    <col min="9468" max="9468" width="11.28515625" style="87" customWidth="1"/>
    <col min="9469" max="9469" width="9.7109375" style="87" customWidth="1"/>
    <col min="9470" max="9471" width="11.42578125" style="87" customWidth="1"/>
    <col min="9472" max="9472" width="18.28515625" style="87" customWidth="1"/>
    <col min="9473" max="9473" width="17.7109375" style="87" customWidth="1"/>
    <col min="9474" max="9474" width="17.28515625" style="87" customWidth="1"/>
    <col min="9475" max="9475" width="17.42578125" style="87" customWidth="1"/>
    <col min="9476" max="9476" width="12.42578125" style="87" customWidth="1"/>
    <col min="9477" max="9477" width="19.7109375" style="87" customWidth="1"/>
    <col min="9478" max="9478" width="16.28515625" style="87" customWidth="1"/>
    <col min="9479" max="9719" width="9" style="87"/>
    <col min="9720" max="9720" width="6.28515625" style="87" customWidth="1"/>
    <col min="9721" max="9721" width="37.28515625" style="87" customWidth="1"/>
    <col min="9722" max="9723" width="21.7109375" style="87" customWidth="1"/>
    <col min="9724" max="9724" width="11.28515625" style="87" customWidth="1"/>
    <col min="9725" max="9725" width="9.7109375" style="87" customWidth="1"/>
    <col min="9726" max="9727" width="11.42578125" style="87" customWidth="1"/>
    <col min="9728" max="9728" width="18.28515625" style="87" customWidth="1"/>
    <col min="9729" max="9729" width="17.7109375" style="87" customWidth="1"/>
    <col min="9730" max="9730" width="17.28515625" style="87" customWidth="1"/>
    <col min="9731" max="9731" width="17.42578125" style="87" customWidth="1"/>
    <col min="9732" max="9732" width="12.42578125" style="87" customWidth="1"/>
    <col min="9733" max="9733" width="19.7109375" style="87" customWidth="1"/>
    <col min="9734" max="9734" width="16.28515625" style="87" customWidth="1"/>
    <col min="9735" max="9975" width="9" style="87"/>
    <col min="9976" max="9976" width="6.28515625" style="87" customWidth="1"/>
    <col min="9977" max="9977" width="37.28515625" style="87" customWidth="1"/>
    <col min="9978" max="9979" width="21.7109375" style="87" customWidth="1"/>
    <col min="9980" max="9980" width="11.28515625" style="87" customWidth="1"/>
    <col min="9981" max="9981" width="9.7109375" style="87" customWidth="1"/>
    <col min="9982" max="9983" width="11.42578125" style="87" customWidth="1"/>
    <col min="9984" max="9984" width="18.28515625" style="87" customWidth="1"/>
    <col min="9985" max="9985" width="17.7109375" style="87" customWidth="1"/>
    <col min="9986" max="9986" width="17.28515625" style="87" customWidth="1"/>
    <col min="9987" max="9987" width="17.42578125" style="87" customWidth="1"/>
    <col min="9988" max="9988" width="12.42578125" style="87" customWidth="1"/>
    <col min="9989" max="9989" width="19.7109375" style="87" customWidth="1"/>
    <col min="9990" max="9990" width="16.28515625" style="87" customWidth="1"/>
    <col min="9991" max="10231" width="9" style="87"/>
    <col min="10232" max="10232" width="6.28515625" style="87" customWidth="1"/>
    <col min="10233" max="10233" width="37.28515625" style="87" customWidth="1"/>
    <col min="10234" max="10235" width="21.7109375" style="87" customWidth="1"/>
    <col min="10236" max="10236" width="11.28515625" style="87" customWidth="1"/>
    <col min="10237" max="10237" width="9.7109375" style="87" customWidth="1"/>
    <col min="10238" max="10239" width="11.42578125" style="87" customWidth="1"/>
    <col min="10240" max="10240" width="18.28515625" style="87" customWidth="1"/>
    <col min="10241" max="10241" width="17.7109375" style="87" customWidth="1"/>
    <col min="10242" max="10242" width="17.28515625" style="87" customWidth="1"/>
    <col min="10243" max="10243" width="17.42578125" style="87" customWidth="1"/>
    <col min="10244" max="10244" width="12.42578125" style="87" customWidth="1"/>
    <col min="10245" max="10245" width="19.7109375" style="87" customWidth="1"/>
    <col min="10246" max="10246" width="16.28515625" style="87" customWidth="1"/>
    <col min="10247" max="10487" width="9" style="87"/>
    <col min="10488" max="10488" width="6.28515625" style="87" customWidth="1"/>
    <col min="10489" max="10489" width="37.28515625" style="87" customWidth="1"/>
    <col min="10490" max="10491" width="21.7109375" style="87" customWidth="1"/>
    <col min="10492" max="10492" width="11.28515625" style="87" customWidth="1"/>
    <col min="10493" max="10493" width="9.7109375" style="87" customWidth="1"/>
    <col min="10494" max="10495" width="11.42578125" style="87" customWidth="1"/>
    <col min="10496" max="10496" width="18.28515625" style="87" customWidth="1"/>
    <col min="10497" max="10497" width="17.7109375" style="87" customWidth="1"/>
    <col min="10498" max="10498" width="17.28515625" style="87" customWidth="1"/>
    <col min="10499" max="10499" width="17.42578125" style="87" customWidth="1"/>
    <col min="10500" max="10500" width="12.42578125" style="87" customWidth="1"/>
    <col min="10501" max="10501" width="19.7109375" style="87" customWidth="1"/>
    <col min="10502" max="10502" width="16.28515625" style="87" customWidth="1"/>
    <col min="10503" max="10743" width="9" style="87"/>
    <col min="10744" max="10744" width="6.28515625" style="87" customWidth="1"/>
    <col min="10745" max="10745" width="37.28515625" style="87" customWidth="1"/>
    <col min="10746" max="10747" width="21.7109375" style="87" customWidth="1"/>
    <col min="10748" max="10748" width="11.28515625" style="87" customWidth="1"/>
    <col min="10749" max="10749" width="9.7109375" style="87" customWidth="1"/>
    <col min="10750" max="10751" width="11.42578125" style="87" customWidth="1"/>
    <col min="10752" max="10752" width="18.28515625" style="87" customWidth="1"/>
    <col min="10753" max="10753" width="17.7109375" style="87" customWidth="1"/>
    <col min="10754" max="10754" width="17.28515625" style="87" customWidth="1"/>
    <col min="10755" max="10755" width="17.42578125" style="87" customWidth="1"/>
    <col min="10756" max="10756" width="12.42578125" style="87" customWidth="1"/>
    <col min="10757" max="10757" width="19.7109375" style="87" customWidth="1"/>
    <col min="10758" max="10758" width="16.28515625" style="87" customWidth="1"/>
    <col min="10759" max="10999" width="9" style="87"/>
    <col min="11000" max="11000" width="6.28515625" style="87" customWidth="1"/>
    <col min="11001" max="11001" width="37.28515625" style="87" customWidth="1"/>
    <col min="11002" max="11003" width="21.7109375" style="87" customWidth="1"/>
    <col min="11004" max="11004" width="11.28515625" style="87" customWidth="1"/>
    <col min="11005" max="11005" width="9.7109375" style="87" customWidth="1"/>
    <col min="11006" max="11007" width="11.42578125" style="87" customWidth="1"/>
    <col min="11008" max="11008" width="18.28515625" style="87" customWidth="1"/>
    <col min="11009" max="11009" width="17.7109375" style="87" customWidth="1"/>
    <col min="11010" max="11010" width="17.28515625" style="87" customWidth="1"/>
    <col min="11011" max="11011" width="17.42578125" style="87" customWidth="1"/>
    <col min="11012" max="11012" width="12.42578125" style="87" customWidth="1"/>
    <col min="11013" max="11013" width="19.7109375" style="87" customWidth="1"/>
    <col min="11014" max="11014" width="16.28515625" style="87" customWidth="1"/>
    <col min="11015" max="11255" width="9" style="87"/>
    <col min="11256" max="11256" width="6.28515625" style="87" customWidth="1"/>
    <col min="11257" max="11257" width="37.28515625" style="87" customWidth="1"/>
    <col min="11258" max="11259" width="21.7109375" style="87" customWidth="1"/>
    <col min="11260" max="11260" width="11.28515625" style="87" customWidth="1"/>
    <col min="11261" max="11261" width="9.7109375" style="87" customWidth="1"/>
    <col min="11262" max="11263" width="11.42578125" style="87" customWidth="1"/>
    <col min="11264" max="11264" width="18.28515625" style="87" customWidth="1"/>
    <col min="11265" max="11265" width="17.7109375" style="87" customWidth="1"/>
    <col min="11266" max="11266" width="17.28515625" style="87" customWidth="1"/>
    <col min="11267" max="11267" width="17.42578125" style="87" customWidth="1"/>
    <col min="11268" max="11268" width="12.42578125" style="87" customWidth="1"/>
    <col min="11269" max="11269" width="19.7109375" style="87" customWidth="1"/>
    <col min="11270" max="11270" width="16.28515625" style="87" customWidth="1"/>
    <col min="11271" max="11511" width="9" style="87"/>
    <col min="11512" max="11512" width="6.28515625" style="87" customWidth="1"/>
    <col min="11513" max="11513" width="37.28515625" style="87" customWidth="1"/>
    <col min="11514" max="11515" width="21.7109375" style="87" customWidth="1"/>
    <col min="11516" max="11516" width="11.28515625" style="87" customWidth="1"/>
    <col min="11517" max="11517" width="9.7109375" style="87" customWidth="1"/>
    <col min="11518" max="11519" width="11.42578125" style="87" customWidth="1"/>
    <col min="11520" max="11520" width="18.28515625" style="87" customWidth="1"/>
    <col min="11521" max="11521" width="17.7109375" style="87" customWidth="1"/>
    <col min="11522" max="11522" width="17.28515625" style="87" customWidth="1"/>
    <col min="11523" max="11523" width="17.42578125" style="87" customWidth="1"/>
    <col min="11524" max="11524" width="12.42578125" style="87" customWidth="1"/>
    <col min="11525" max="11525" width="19.7109375" style="87" customWidth="1"/>
    <col min="11526" max="11526" width="16.28515625" style="87" customWidth="1"/>
    <col min="11527" max="11767" width="9" style="87"/>
    <col min="11768" max="11768" width="6.28515625" style="87" customWidth="1"/>
    <col min="11769" max="11769" width="37.28515625" style="87" customWidth="1"/>
    <col min="11770" max="11771" width="21.7109375" style="87" customWidth="1"/>
    <col min="11772" max="11772" width="11.28515625" style="87" customWidth="1"/>
    <col min="11773" max="11773" width="9.7109375" style="87" customWidth="1"/>
    <col min="11774" max="11775" width="11.42578125" style="87" customWidth="1"/>
    <col min="11776" max="11776" width="18.28515625" style="87" customWidth="1"/>
    <col min="11777" max="11777" width="17.7109375" style="87" customWidth="1"/>
    <col min="11778" max="11778" width="17.28515625" style="87" customWidth="1"/>
    <col min="11779" max="11779" width="17.42578125" style="87" customWidth="1"/>
    <col min="11780" max="11780" width="12.42578125" style="87" customWidth="1"/>
    <col min="11781" max="11781" width="19.7109375" style="87" customWidth="1"/>
    <col min="11782" max="11782" width="16.28515625" style="87" customWidth="1"/>
    <col min="11783" max="12023" width="9" style="87"/>
    <col min="12024" max="12024" width="6.28515625" style="87" customWidth="1"/>
    <col min="12025" max="12025" width="37.28515625" style="87" customWidth="1"/>
    <col min="12026" max="12027" width="21.7109375" style="87" customWidth="1"/>
    <col min="12028" max="12028" width="11.28515625" style="87" customWidth="1"/>
    <col min="12029" max="12029" width="9.7109375" style="87" customWidth="1"/>
    <col min="12030" max="12031" width="11.42578125" style="87" customWidth="1"/>
    <col min="12032" max="12032" width="18.28515625" style="87" customWidth="1"/>
    <col min="12033" max="12033" width="17.7109375" style="87" customWidth="1"/>
    <col min="12034" max="12034" width="17.28515625" style="87" customWidth="1"/>
    <col min="12035" max="12035" width="17.42578125" style="87" customWidth="1"/>
    <col min="12036" max="12036" width="12.42578125" style="87" customWidth="1"/>
    <col min="12037" max="12037" width="19.7109375" style="87" customWidth="1"/>
    <col min="12038" max="12038" width="16.28515625" style="87" customWidth="1"/>
    <col min="12039" max="12279" width="9" style="87"/>
    <col min="12280" max="12280" width="6.28515625" style="87" customWidth="1"/>
    <col min="12281" max="12281" width="37.28515625" style="87" customWidth="1"/>
    <col min="12282" max="12283" width="21.7109375" style="87" customWidth="1"/>
    <col min="12284" max="12284" width="11.28515625" style="87" customWidth="1"/>
    <col min="12285" max="12285" width="9.7109375" style="87" customWidth="1"/>
    <col min="12286" max="12287" width="11.42578125" style="87" customWidth="1"/>
    <col min="12288" max="12288" width="18.28515625" style="87" customWidth="1"/>
    <col min="12289" max="12289" width="17.7109375" style="87" customWidth="1"/>
    <col min="12290" max="12290" width="17.28515625" style="87" customWidth="1"/>
    <col min="12291" max="12291" width="17.42578125" style="87" customWidth="1"/>
    <col min="12292" max="12292" width="12.42578125" style="87" customWidth="1"/>
    <col min="12293" max="12293" width="19.7109375" style="87" customWidth="1"/>
    <col min="12294" max="12294" width="16.28515625" style="87" customWidth="1"/>
    <col min="12295" max="12535" width="9" style="87"/>
    <col min="12536" max="12536" width="6.28515625" style="87" customWidth="1"/>
    <col min="12537" max="12537" width="37.28515625" style="87" customWidth="1"/>
    <col min="12538" max="12539" width="21.7109375" style="87" customWidth="1"/>
    <col min="12540" max="12540" width="11.28515625" style="87" customWidth="1"/>
    <col min="12541" max="12541" width="9.7109375" style="87" customWidth="1"/>
    <col min="12542" max="12543" width="11.42578125" style="87" customWidth="1"/>
    <col min="12544" max="12544" width="18.28515625" style="87" customWidth="1"/>
    <col min="12545" max="12545" width="17.7109375" style="87" customWidth="1"/>
    <col min="12546" max="12546" width="17.28515625" style="87" customWidth="1"/>
    <col min="12547" max="12547" width="17.42578125" style="87" customWidth="1"/>
    <col min="12548" max="12548" width="12.42578125" style="87" customWidth="1"/>
    <col min="12549" max="12549" width="19.7109375" style="87" customWidth="1"/>
    <col min="12550" max="12550" width="16.28515625" style="87" customWidth="1"/>
    <col min="12551" max="12791" width="9" style="87"/>
    <col min="12792" max="12792" width="6.28515625" style="87" customWidth="1"/>
    <col min="12793" max="12793" width="37.28515625" style="87" customWidth="1"/>
    <col min="12794" max="12795" width="21.7109375" style="87" customWidth="1"/>
    <col min="12796" max="12796" width="11.28515625" style="87" customWidth="1"/>
    <col min="12797" max="12797" width="9.7109375" style="87" customWidth="1"/>
    <col min="12798" max="12799" width="11.42578125" style="87" customWidth="1"/>
    <col min="12800" max="12800" width="18.28515625" style="87" customWidth="1"/>
    <col min="12801" max="12801" width="17.7109375" style="87" customWidth="1"/>
    <col min="12802" max="12802" width="17.28515625" style="87" customWidth="1"/>
    <col min="12803" max="12803" width="17.42578125" style="87" customWidth="1"/>
    <col min="12804" max="12804" width="12.42578125" style="87" customWidth="1"/>
    <col min="12805" max="12805" width="19.7109375" style="87" customWidth="1"/>
    <col min="12806" max="12806" width="16.28515625" style="87" customWidth="1"/>
    <col min="12807" max="13047" width="9" style="87"/>
    <col min="13048" max="13048" width="6.28515625" style="87" customWidth="1"/>
    <col min="13049" max="13049" width="37.28515625" style="87" customWidth="1"/>
    <col min="13050" max="13051" width="21.7109375" style="87" customWidth="1"/>
    <col min="13052" max="13052" width="11.28515625" style="87" customWidth="1"/>
    <col min="13053" max="13053" width="9.7109375" style="87" customWidth="1"/>
    <col min="13054" max="13055" width="11.42578125" style="87" customWidth="1"/>
    <col min="13056" max="13056" width="18.28515625" style="87" customWidth="1"/>
    <col min="13057" max="13057" width="17.7109375" style="87" customWidth="1"/>
    <col min="13058" max="13058" width="17.28515625" style="87" customWidth="1"/>
    <col min="13059" max="13059" width="17.42578125" style="87" customWidth="1"/>
    <col min="13060" max="13060" width="12.42578125" style="87" customWidth="1"/>
    <col min="13061" max="13061" width="19.7109375" style="87" customWidth="1"/>
    <col min="13062" max="13062" width="16.28515625" style="87" customWidth="1"/>
    <col min="13063" max="13303" width="9" style="87"/>
    <col min="13304" max="13304" width="6.28515625" style="87" customWidth="1"/>
    <col min="13305" max="13305" width="37.28515625" style="87" customWidth="1"/>
    <col min="13306" max="13307" width="21.7109375" style="87" customWidth="1"/>
    <col min="13308" max="13308" width="11.28515625" style="87" customWidth="1"/>
    <col min="13309" max="13309" width="9.7109375" style="87" customWidth="1"/>
    <col min="13310" max="13311" width="11.42578125" style="87" customWidth="1"/>
    <col min="13312" max="13312" width="18.28515625" style="87" customWidth="1"/>
    <col min="13313" max="13313" width="17.7109375" style="87" customWidth="1"/>
    <col min="13314" max="13314" width="17.28515625" style="87" customWidth="1"/>
    <col min="13315" max="13315" width="17.42578125" style="87" customWidth="1"/>
    <col min="13316" max="13316" width="12.42578125" style="87" customWidth="1"/>
    <col min="13317" max="13317" width="19.7109375" style="87" customWidth="1"/>
    <col min="13318" max="13318" width="16.28515625" style="87" customWidth="1"/>
    <col min="13319" max="13559" width="9" style="87"/>
    <col min="13560" max="13560" width="6.28515625" style="87" customWidth="1"/>
    <col min="13561" max="13561" width="37.28515625" style="87" customWidth="1"/>
    <col min="13562" max="13563" width="21.7109375" style="87" customWidth="1"/>
    <col min="13564" max="13564" width="11.28515625" style="87" customWidth="1"/>
    <col min="13565" max="13565" width="9.7109375" style="87" customWidth="1"/>
    <col min="13566" max="13567" width="11.42578125" style="87" customWidth="1"/>
    <col min="13568" max="13568" width="18.28515625" style="87" customWidth="1"/>
    <col min="13569" max="13569" width="17.7109375" style="87" customWidth="1"/>
    <col min="13570" max="13570" width="17.28515625" style="87" customWidth="1"/>
    <col min="13571" max="13571" width="17.42578125" style="87" customWidth="1"/>
    <col min="13572" max="13572" width="12.42578125" style="87" customWidth="1"/>
    <col min="13573" max="13573" width="19.7109375" style="87" customWidth="1"/>
    <col min="13574" max="13574" width="16.28515625" style="87" customWidth="1"/>
    <col min="13575" max="13815" width="9" style="87"/>
    <col min="13816" max="13816" width="6.28515625" style="87" customWidth="1"/>
    <col min="13817" max="13817" width="37.28515625" style="87" customWidth="1"/>
    <col min="13818" max="13819" width="21.7109375" style="87" customWidth="1"/>
    <col min="13820" max="13820" width="11.28515625" style="87" customWidth="1"/>
    <col min="13821" max="13821" width="9.7109375" style="87" customWidth="1"/>
    <col min="13822" max="13823" width="11.42578125" style="87" customWidth="1"/>
    <col min="13824" max="13824" width="18.28515625" style="87" customWidth="1"/>
    <col min="13825" max="13825" width="17.7109375" style="87" customWidth="1"/>
    <col min="13826" max="13826" width="17.28515625" style="87" customWidth="1"/>
    <col min="13827" max="13827" width="17.42578125" style="87" customWidth="1"/>
    <col min="13828" max="13828" width="12.42578125" style="87" customWidth="1"/>
    <col min="13829" max="13829" width="19.7109375" style="87" customWidth="1"/>
    <col min="13830" max="13830" width="16.28515625" style="87" customWidth="1"/>
    <col min="13831" max="14071" width="9" style="87"/>
    <col min="14072" max="14072" width="6.28515625" style="87" customWidth="1"/>
    <col min="14073" max="14073" width="37.28515625" style="87" customWidth="1"/>
    <col min="14074" max="14075" width="21.7109375" style="87" customWidth="1"/>
    <col min="14076" max="14076" width="11.28515625" style="87" customWidth="1"/>
    <col min="14077" max="14077" width="9.7109375" style="87" customWidth="1"/>
    <col min="14078" max="14079" width="11.42578125" style="87" customWidth="1"/>
    <col min="14080" max="14080" width="18.28515625" style="87" customWidth="1"/>
    <col min="14081" max="14081" width="17.7109375" style="87" customWidth="1"/>
    <col min="14082" max="14082" width="17.28515625" style="87" customWidth="1"/>
    <col min="14083" max="14083" width="17.42578125" style="87" customWidth="1"/>
    <col min="14084" max="14084" width="12.42578125" style="87" customWidth="1"/>
    <col min="14085" max="14085" width="19.7109375" style="87" customWidth="1"/>
    <col min="14086" max="14086" width="16.28515625" style="87" customWidth="1"/>
    <col min="14087" max="14327" width="9" style="87"/>
    <col min="14328" max="14328" width="6.28515625" style="87" customWidth="1"/>
    <col min="14329" max="14329" width="37.28515625" style="87" customWidth="1"/>
    <col min="14330" max="14331" width="21.7109375" style="87" customWidth="1"/>
    <col min="14332" max="14332" width="11.28515625" style="87" customWidth="1"/>
    <col min="14333" max="14333" width="9.7109375" style="87" customWidth="1"/>
    <col min="14334" max="14335" width="11.42578125" style="87" customWidth="1"/>
    <col min="14336" max="14336" width="18.28515625" style="87" customWidth="1"/>
    <col min="14337" max="14337" width="17.7109375" style="87" customWidth="1"/>
    <col min="14338" max="14338" width="17.28515625" style="87" customWidth="1"/>
    <col min="14339" max="14339" width="17.42578125" style="87" customWidth="1"/>
    <col min="14340" max="14340" width="12.42578125" style="87" customWidth="1"/>
    <col min="14341" max="14341" width="19.7109375" style="87" customWidth="1"/>
    <col min="14342" max="14342" width="16.28515625" style="87" customWidth="1"/>
    <col min="14343" max="14583" width="9" style="87"/>
    <col min="14584" max="14584" width="6.28515625" style="87" customWidth="1"/>
    <col min="14585" max="14585" width="37.28515625" style="87" customWidth="1"/>
    <col min="14586" max="14587" width="21.7109375" style="87" customWidth="1"/>
    <col min="14588" max="14588" width="11.28515625" style="87" customWidth="1"/>
    <col min="14589" max="14589" width="9.7109375" style="87" customWidth="1"/>
    <col min="14590" max="14591" width="11.42578125" style="87" customWidth="1"/>
    <col min="14592" max="14592" width="18.28515625" style="87" customWidth="1"/>
    <col min="14593" max="14593" width="17.7109375" style="87" customWidth="1"/>
    <col min="14594" max="14594" width="17.28515625" style="87" customWidth="1"/>
    <col min="14595" max="14595" width="17.42578125" style="87" customWidth="1"/>
    <col min="14596" max="14596" width="12.42578125" style="87" customWidth="1"/>
    <col min="14597" max="14597" width="19.7109375" style="87" customWidth="1"/>
    <col min="14598" max="14598" width="16.28515625" style="87" customWidth="1"/>
    <col min="14599" max="14839" width="9" style="87"/>
    <col min="14840" max="14840" width="6.28515625" style="87" customWidth="1"/>
    <col min="14841" max="14841" width="37.28515625" style="87" customWidth="1"/>
    <col min="14842" max="14843" width="21.7109375" style="87" customWidth="1"/>
    <col min="14844" max="14844" width="11.28515625" style="87" customWidth="1"/>
    <col min="14845" max="14845" width="9.7109375" style="87" customWidth="1"/>
    <col min="14846" max="14847" width="11.42578125" style="87" customWidth="1"/>
    <col min="14848" max="14848" width="18.28515625" style="87" customWidth="1"/>
    <col min="14849" max="14849" width="17.7109375" style="87" customWidth="1"/>
    <col min="14850" max="14850" width="17.28515625" style="87" customWidth="1"/>
    <col min="14851" max="14851" width="17.42578125" style="87" customWidth="1"/>
    <col min="14852" max="14852" width="12.42578125" style="87" customWidth="1"/>
    <col min="14853" max="14853" width="19.7109375" style="87" customWidth="1"/>
    <col min="14854" max="14854" width="16.28515625" style="87" customWidth="1"/>
    <col min="14855" max="15095" width="9" style="87"/>
    <col min="15096" max="15096" width="6.28515625" style="87" customWidth="1"/>
    <col min="15097" max="15097" width="37.28515625" style="87" customWidth="1"/>
    <col min="15098" max="15099" width="21.7109375" style="87" customWidth="1"/>
    <col min="15100" max="15100" width="11.28515625" style="87" customWidth="1"/>
    <col min="15101" max="15101" width="9.7109375" style="87" customWidth="1"/>
    <col min="15102" max="15103" width="11.42578125" style="87" customWidth="1"/>
    <col min="15104" max="15104" width="18.28515625" style="87" customWidth="1"/>
    <col min="15105" max="15105" width="17.7109375" style="87" customWidth="1"/>
    <col min="15106" max="15106" width="17.28515625" style="87" customWidth="1"/>
    <col min="15107" max="15107" width="17.42578125" style="87" customWidth="1"/>
    <col min="15108" max="15108" width="12.42578125" style="87" customWidth="1"/>
    <col min="15109" max="15109" width="19.7109375" style="87" customWidth="1"/>
    <col min="15110" max="15110" width="16.28515625" style="87" customWidth="1"/>
    <col min="15111" max="15351" width="9" style="87"/>
    <col min="15352" max="15352" width="6.28515625" style="87" customWidth="1"/>
    <col min="15353" max="15353" width="37.28515625" style="87" customWidth="1"/>
    <col min="15354" max="15355" width="21.7109375" style="87" customWidth="1"/>
    <col min="15356" max="15356" width="11.28515625" style="87" customWidth="1"/>
    <col min="15357" max="15357" width="9.7109375" style="87" customWidth="1"/>
    <col min="15358" max="15359" width="11.42578125" style="87" customWidth="1"/>
    <col min="15360" max="15360" width="18.28515625" style="87" customWidth="1"/>
    <col min="15361" max="15361" width="17.7109375" style="87" customWidth="1"/>
    <col min="15362" max="15362" width="17.28515625" style="87" customWidth="1"/>
    <col min="15363" max="15363" width="17.42578125" style="87" customWidth="1"/>
    <col min="15364" max="15364" width="12.42578125" style="87" customWidth="1"/>
    <col min="15365" max="15365" width="19.7109375" style="87" customWidth="1"/>
    <col min="15366" max="15366" width="16.28515625" style="87" customWidth="1"/>
    <col min="15367" max="15607" width="9" style="87"/>
    <col min="15608" max="15608" width="6.28515625" style="87" customWidth="1"/>
    <col min="15609" max="15609" width="37.28515625" style="87" customWidth="1"/>
    <col min="15610" max="15611" width="21.7109375" style="87" customWidth="1"/>
    <col min="15612" max="15612" width="11.28515625" style="87" customWidth="1"/>
    <col min="15613" max="15613" width="9.7109375" style="87" customWidth="1"/>
    <col min="15614" max="15615" width="11.42578125" style="87" customWidth="1"/>
    <col min="15616" max="15616" width="18.28515625" style="87" customWidth="1"/>
    <col min="15617" max="15617" width="17.7109375" style="87" customWidth="1"/>
    <col min="15618" max="15618" width="17.28515625" style="87" customWidth="1"/>
    <col min="15619" max="15619" width="17.42578125" style="87" customWidth="1"/>
    <col min="15620" max="15620" width="12.42578125" style="87" customWidth="1"/>
    <col min="15621" max="15621" width="19.7109375" style="87" customWidth="1"/>
    <col min="15622" max="15622" width="16.28515625" style="87" customWidth="1"/>
    <col min="15623" max="15863" width="9" style="87"/>
    <col min="15864" max="15864" width="6.28515625" style="87" customWidth="1"/>
    <col min="15865" max="15865" width="37.28515625" style="87" customWidth="1"/>
    <col min="15866" max="15867" width="21.7109375" style="87" customWidth="1"/>
    <col min="15868" max="15868" width="11.28515625" style="87" customWidth="1"/>
    <col min="15869" max="15869" width="9.7109375" style="87" customWidth="1"/>
    <col min="15870" max="15871" width="11.42578125" style="87" customWidth="1"/>
    <col min="15872" max="15872" width="18.28515625" style="87" customWidth="1"/>
    <col min="15873" max="15873" width="17.7109375" style="87" customWidth="1"/>
    <col min="15874" max="15874" width="17.28515625" style="87" customWidth="1"/>
    <col min="15875" max="15875" width="17.42578125" style="87" customWidth="1"/>
    <col min="15876" max="15876" width="12.42578125" style="87" customWidth="1"/>
    <col min="15877" max="15877" width="19.7109375" style="87" customWidth="1"/>
    <col min="15878" max="15878" width="16.28515625" style="87" customWidth="1"/>
    <col min="15879" max="16119" width="9" style="87"/>
    <col min="16120" max="16120" width="6.28515625" style="87" customWidth="1"/>
    <col min="16121" max="16121" width="37.28515625" style="87" customWidth="1"/>
    <col min="16122" max="16123" width="21.7109375" style="87" customWidth="1"/>
    <col min="16124" max="16124" width="11.28515625" style="87" customWidth="1"/>
    <col min="16125" max="16125" width="9.7109375" style="87" customWidth="1"/>
    <col min="16126" max="16127" width="11.42578125" style="87" customWidth="1"/>
    <col min="16128" max="16128" width="18.28515625" style="87" customWidth="1"/>
    <col min="16129" max="16129" width="17.7109375" style="87" customWidth="1"/>
    <col min="16130" max="16130" width="17.28515625" style="87" customWidth="1"/>
    <col min="16131" max="16131" width="17.42578125" style="87" customWidth="1"/>
    <col min="16132" max="16132" width="12.42578125" style="87" customWidth="1"/>
    <col min="16133" max="16133" width="19.7109375" style="87" customWidth="1"/>
    <col min="16134" max="16134" width="16.28515625" style="87" customWidth="1"/>
    <col min="16135" max="16379" width="9" style="87"/>
    <col min="16380" max="16383" width="9" style="87" customWidth="1"/>
    <col min="16384" max="16384" width="9" style="87"/>
  </cols>
  <sheetData>
    <row r="2" spans="1:8" ht="19.5" x14ac:dyDescent="0.3">
      <c r="A2" s="1024" t="s">
        <v>74</v>
      </c>
      <c r="B2" s="1024"/>
      <c r="C2" s="1024"/>
      <c r="D2" s="1024"/>
      <c r="E2" s="1024"/>
      <c r="F2" s="1024"/>
      <c r="G2" s="1024"/>
    </row>
    <row r="3" spans="1:8" ht="20.25" x14ac:dyDescent="0.25">
      <c r="C3" s="89"/>
      <c r="D3" s="89"/>
      <c r="E3" s="89"/>
      <c r="F3" s="89"/>
    </row>
    <row r="4" spans="1:8" ht="20.25" x14ac:dyDescent="0.25">
      <c r="C4" s="90" t="s">
        <v>52</v>
      </c>
      <c r="D4" s="90"/>
      <c r="E4" s="91"/>
      <c r="F4" s="89"/>
      <c r="G4" s="92"/>
    </row>
    <row r="5" spans="1:8" s="93" customFormat="1" ht="66" x14ac:dyDescent="0.25">
      <c r="A5" s="163" t="s">
        <v>53</v>
      </c>
      <c r="B5" s="250" t="s">
        <v>153</v>
      </c>
      <c r="C5" s="163" t="s">
        <v>152</v>
      </c>
      <c r="D5" s="164" t="s">
        <v>54</v>
      </c>
      <c r="E5" s="164" t="s">
        <v>111</v>
      </c>
      <c r="F5" s="165" t="s">
        <v>55</v>
      </c>
      <c r="G5" s="166" t="s">
        <v>56</v>
      </c>
    </row>
    <row r="6" spans="1:8" s="93" customFormat="1" ht="16.5" x14ac:dyDescent="0.25">
      <c r="A6" s="96" t="s">
        <v>5</v>
      </c>
      <c r="B6" s="96"/>
      <c r="C6" s="97" t="s">
        <v>86</v>
      </c>
      <c r="D6" s="98"/>
      <c r="E6" s="180"/>
      <c r="F6" s="181">
        <f>SUM(F7:F10)</f>
        <v>10</v>
      </c>
      <c r="G6" s="182" t="e">
        <f>SUM(G7:G10)</f>
        <v>#REF!</v>
      </c>
      <c r="H6" s="131"/>
    </row>
    <row r="7" spans="1:8" s="93" customFormat="1" ht="31.5" customHeight="1" x14ac:dyDescent="0.25">
      <c r="A7" s="178" t="s">
        <v>44</v>
      </c>
      <c r="B7" s="178"/>
      <c r="C7" s="179" t="s">
        <v>85</v>
      </c>
      <c r="D7" s="60" t="e">
        <f>#REF!</f>
        <v>#REF!</v>
      </c>
      <c r="E7" s="183" t="e">
        <f>VLOOKUP(D7,#REF!,4,TRUE)</f>
        <v>#REF!</v>
      </c>
      <c r="F7" s="181">
        <v>3</v>
      </c>
      <c r="G7" s="185" t="e">
        <f>F7*E7*1490000</f>
        <v>#REF!</v>
      </c>
      <c r="H7" s="131"/>
    </row>
    <row r="8" spans="1:8" s="93" customFormat="1" ht="17.25" x14ac:dyDescent="0.25">
      <c r="A8" s="1013" t="s">
        <v>45</v>
      </c>
      <c r="B8" s="247"/>
      <c r="C8" s="1008" t="s">
        <v>28</v>
      </c>
      <c r="D8" s="60"/>
      <c r="E8" s="183"/>
      <c r="F8" s="184"/>
      <c r="G8" s="185"/>
    </row>
    <row r="9" spans="1:8" s="93" customFormat="1" ht="17.25" x14ac:dyDescent="0.25">
      <c r="A9" s="1014"/>
      <c r="B9" s="248"/>
      <c r="C9" s="1009"/>
      <c r="D9" s="60" t="s">
        <v>58</v>
      </c>
      <c r="E9" s="183">
        <f>'Đơn giá tiền công'!F6</f>
        <v>0.55000000000000004</v>
      </c>
      <c r="F9" s="186">
        <v>5</v>
      </c>
      <c r="G9" s="185">
        <f t="shared" ref="G9:G10" si="0">F9*E9*1490000</f>
        <v>4097500</v>
      </c>
    </row>
    <row r="10" spans="1:8" s="93" customFormat="1" ht="17.25" x14ac:dyDescent="0.25">
      <c r="A10" s="1017"/>
      <c r="B10" s="249"/>
      <c r="C10" s="1030"/>
      <c r="D10" s="60" t="s">
        <v>60</v>
      </c>
      <c r="E10" s="183">
        <f>'Đơn giá tiền công'!F8</f>
        <v>0.34</v>
      </c>
      <c r="F10" s="186">
        <v>2</v>
      </c>
      <c r="G10" s="185">
        <f t="shared" si="0"/>
        <v>1013200.0000000001</v>
      </c>
    </row>
    <row r="11" spans="1:8" s="93" customFormat="1" ht="33" x14ac:dyDescent="0.25">
      <c r="A11" s="94" t="s">
        <v>6</v>
      </c>
      <c r="B11" s="94"/>
      <c r="C11" s="101" t="s">
        <v>59</v>
      </c>
      <c r="D11" s="101"/>
      <c r="E11" s="102"/>
      <c r="F11" s="103">
        <f>SUM(F21:F69)</f>
        <v>695</v>
      </c>
      <c r="G11" s="104">
        <f>G20+G24+G37+G46+G66+G12+G62</f>
        <v>387996000.00000006</v>
      </c>
      <c r="H11" s="131"/>
    </row>
    <row r="12" spans="1:8" s="93" customFormat="1" ht="115.5" x14ac:dyDescent="0.25">
      <c r="A12" s="1021">
        <v>2.1</v>
      </c>
      <c r="B12" s="214" t="s">
        <v>154</v>
      </c>
      <c r="C12" s="1027" t="s">
        <v>151</v>
      </c>
      <c r="D12" s="101"/>
      <c r="E12" s="102"/>
      <c r="F12" s="103"/>
      <c r="G12" s="128">
        <f>SUM(G13:G19)</f>
        <v>20264000.000000004</v>
      </c>
      <c r="H12" s="131"/>
    </row>
    <row r="13" spans="1:8" s="93" customFormat="1" ht="132" x14ac:dyDescent="0.25">
      <c r="A13" s="1022"/>
      <c r="B13" s="214" t="s">
        <v>155</v>
      </c>
      <c r="C13" s="1028"/>
      <c r="D13" s="243" t="s">
        <v>68</v>
      </c>
      <c r="E13" s="244">
        <v>0.34</v>
      </c>
      <c r="F13" s="242">
        <v>10</v>
      </c>
      <c r="G13" s="185">
        <f>F13*E13*1490000</f>
        <v>5066000.0000000009</v>
      </c>
      <c r="H13" s="131"/>
    </row>
    <row r="14" spans="1:8" s="93" customFormat="1" ht="66" x14ac:dyDescent="0.25">
      <c r="A14" s="1022"/>
      <c r="B14" s="214" t="s">
        <v>156</v>
      </c>
      <c r="C14" s="1028"/>
      <c r="D14" s="243"/>
      <c r="E14" s="244"/>
      <c r="F14" s="253"/>
      <c r="G14" s="185"/>
      <c r="H14" s="131"/>
    </row>
    <row r="15" spans="1:8" s="93" customFormat="1" ht="66" x14ac:dyDescent="0.25">
      <c r="A15" s="1022"/>
      <c r="B15" s="214" t="s">
        <v>157</v>
      </c>
      <c r="C15" s="1028"/>
      <c r="D15" s="243"/>
      <c r="E15" s="244"/>
      <c r="F15" s="253"/>
      <c r="G15" s="185"/>
      <c r="H15" s="131"/>
    </row>
    <row r="16" spans="1:8" s="93" customFormat="1" ht="82.5" x14ac:dyDescent="0.25">
      <c r="A16" s="1022"/>
      <c r="B16" s="214" t="s">
        <v>158</v>
      </c>
      <c r="C16" s="1028"/>
      <c r="D16" s="243"/>
      <c r="E16" s="244"/>
      <c r="F16" s="253"/>
      <c r="G16" s="185"/>
      <c r="H16" s="131"/>
    </row>
    <row r="17" spans="1:8" s="93" customFormat="1" ht="66" x14ac:dyDescent="0.25">
      <c r="A17" s="1022"/>
      <c r="B17" s="214" t="s">
        <v>159</v>
      </c>
      <c r="C17" s="1028"/>
      <c r="D17" s="243"/>
      <c r="E17" s="244"/>
      <c r="F17" s="253"/>
      <c r="G17" s="185"/>
      <c r="H17" s="131"/>
    </row>
    <row r="18" spans="1:8" s="93" customFormat="1" ht="17.25" x14ac:dyDescent="0.25">
      <c r="A18" s="1022"/>
      <c r="B18" s="94"/>
      <c r="C18" s="1028"/>
      <c r="D18" s="243" t="s">
        <v>64</v>
      </c>
      <c r="E18" s="244">
        <v>0.34</v>
      </c>
      <c r="F18" s="242">
        <v>20</v>
      </c>
      <c r="G18" s="185">
        <f t="shared" ref="G18:G19" si="1">F18*E18*1490000</f>
        <v>10132000.000000002</v>
      </c>
      <c r="H18" s="131"/>
    </row>
    <row r="19" spans="1:8" s="93" customFormat="1" ht="17.25" x14ac:dyDescent="0.25">
      <c r="A19" s="1023"/>
      <c r="B19" s="94"/>
      <c r="C19" s="1029"/>
      <c r="D19" s="243" t="s">
        <v>139</v>
      </c>
      <c r="E19" s="244">
        <v>0.34</v>
      </c>
      <c r="F19" s="242">
        <v>10</v>
      </c>
      <c r="G19" s="185">
        <f t="shared" si="1"/>
        <v>5066000.0000000009</v>
      </c>
      <c r="H19" s="131"/>
    </row>
    <row r="20" spans="1:8" s="93" customFormat="1" ht="29.25" customHeight="1" x14ac:dyDescent="0.25">
      <c r="A20" s="176">
        <v>2.2000000000000002</v>
      </c>
      <c r="B20" s="176"/>
      <c r="C20" s="1025" t="s">
        <v>101</v>
      </c>
      <c r="D20" s="101"/>
      <c r="E20" s="102"/>
      <c r="F20" s="103"/>
      <c r="G20" s="128">
        <f>SUM(G21:G23)</f>
        <v>35462000.000000007</v>
      </c>
      <c r="H20" s="131"/>
    </row>
    <row r="21" spans="1:8" s="147" customFormat="1" ht="16.5" customHeight="1" x14ac:dyDescent="0.25">
      <c r="A21" s="1014"/>
      <c r="B21" s="248"/>
      <c r="C21" s="1026"/>
      <c r="D21" s="106" t="s">
        <v>66</v>
      </c>
      <c r="E21" s="183">
        <f>'Đơn giá tiền công'!F10</f>
        <v>0.34</v>
      </c>
      <c r="F21" s="100">
        <v>20</v>
      </c>
      <c r="G21" s="185">
        <f>F21*E21*1490000</f>
        <v>10132000.000000002</v>
      </c>
      <c r="H21" s="131"/>
    </row>
    <row r="22" spans="1:8" s="118" customFormat="1" ht="16.5" customHeight="1" x14ac:dyDescent="0.25">
      <c r="A22" s="1014"/>
      <c r="B22" s="248"/>
      <c r="C22" s="1026"/>
      <c r="D22" s="106" t="s">
        <v>62</v>
      </c>
      <c r="E22" s="107">
        <f>'Đơn giá tiền công'!F12</f>
        <v>0.34</v>
      </c>
      <c r="F22" s="108">
        <v>30</v>
      </c>
      <c r="G22" s="185">
        <f t="shared" ref="G22:G23" si="2">F22*E22*1490000</f>
        <v>15198000.000000002</v>
      </c>
      <c r="H22" s="131"/>
    </row>
    <row r="23" spans="1:8" s="118" customFormat="1" ht="16.5" customHeight="1" x14ac:dyDescent="0.25">
      <c r="A23" s="1014"/>
      <c r="B23" s="248"/>
      <c r="C23" s="1026"/>
      <c r="D23" s="106" t="s">
        <v>120</v>
      </c>
      <c r="E23" s="107">
        <v>0.34</v>
      </c>
      <c r="F23" s="108">
        <v>20</v>
      </c>
      <c r="G23" s="185">
        <f t="shared" si="2"/>
        <v>10132000.000000002</v>
      </c>
      <c r="H23" s="131"/>
    </row>
    <row r="24" spans="1:8" s="93" customFormat="1" ht="66" x14ac:dyDescent="0.25">
      <c r="A24" s="176">
        <v>2.2999999999999998</v>
      </c>
      <c r="B24" s="176"/>
      <c r="C24" s="177" t="s">
        <v>88</v>
      </c>
      <c r="D24" s="109"/>
      <c r="E24" s="110"/>
      <c r="F24" s="100"/>
      <c r="G24" s="127">
        <f>G25+G28+G30+G34</f>
        <v>73457000.000000015</v>
      </c>
      <c r="H24" s="131"/>
    </row>
    <row r="25" spans="1:8" s="93" customFormat="1" ht="17.25" x14ac:dyDescent="0.25">
      <c r="A25" s="1012" t="s">
        <v>81</v>
      </c>
      <c r="B25" s="247"/>
      <c r="C25" s="1010" t="s">
        <v>89</v>
      </c>
      <c r="D25" s="109"/>
      <c r="E25" s="110"/>
      <c r="F25" s="100"/>
      <c r="G25" s="130">
        <f>SUM(G26:G27)</f>
        <v>22797000.000000004</v>
      </c>
      <c r="H25" s="131"/>
    </row>
    <row r="26" spans="1:8" s="93" customFormat="1" ht="17.25" x14ac:dyDescent="0.25">
      <c r="A26" s="1012"/>
      <c r="B26" s="248"/>
      <c r="C26" s="1011"/>
      <c r="D26" s="60" t="s">
        <v>123</v>
      </c>
      <c r="E26" s="183">
        <v>0.34</v>
      </c>
      <c r="F26" s="108">
        <v>30</v>
      </c>
      <c r="G26" s="185">
        <f t="shared" ref="G26:G36" si="3">F26*E26*1490000</f>
        <v>15198000.000000002</v>
      </c>
      <c r="H26" s="131"/>
    </row>
    <row r="27" spans="1:8" s="118" customFormat="1" ht="17.25" x14ac:dyDescent="0.25">
      <c r="A27" s="1012"/>
      <c r="B27" s="248"/>
      <c r="C27" s="1011"/>
      <c r="D27" s="106" t="s">
        <v>120</v>
      </c>
      <c r="E27" s="107">
        <f>'Đơn giá tiền công'!F15</f>
        <v>0.34</v>
      </c>
      <c r="F27" s="108">
        <v>15</v>
      </c>
      <c r="G27" s="185">
        <f t="shared" si="3"/>
        <v>7599000.0000000009</v>
      </c>
      <c r="H27" s="131"/>
    </row>
    <row r="28" spans="1:8" s="93" customFormat="1" ht="17.25" x14ac:dyDescent="0.25">
      <c r="A28" s="1014" t="s">
        <v>82</v>
      </c>
      <c r="B28" s="248"/>
      <c r="C28" s="1010" t="s">
        <v>93</v>
      </c>
      <c r="D28" s="109"/>
      <c r="E28" s="110"/>
      <c r="F28" s="100"/>
      <c r="G28" s="130">
        <f>SUM(G29:G29)</f>
        <v>10132000.000000002</v>
      </c>
      <c r="H28" s="131"/>
    </row>
    <row r="29" spans="1:8" s="93" customFormat="1" ht="17.25" x14ac:dyDescent="0.25">
      <c r="A29" s="1014"/>
      <c r="B29" s="248"/>
      <c r="C29" s="1011"/>
      <c r="D29" s="109" t="s">
        <v>57</v>
      </c>
      <c r="E29" s="110">
        <v>0.34</v>
      </c>
      <c r="F29" s="100">
        <v>20</v>
      </c>
      <c r="G29" s="185">
        <f t="shared" si="3"/>
        <v>10132000.000000002</v>
      </c>
      <c r="H29" s="131"/>
    </row>
    <row r="30" spans="1:8" s="93" customFormat="1" ht="17.25" x14ac:dyDescent="0.25">
      <c r="A30" s="1012" t="s">
        <v>143</v>
      </c>
      <c r="B30" s="247"/>
      <c r="C30" s="1010" t="s">
        <v>94</v>
      </c>
      <c r="D30" s="109"/>
      <c r="E30" s="110"/>
      <c r="F30" s="100"/>
      <c r="G30" s="130">
        <f>SUM(G31:G33)</f>
        <v>27863000.000000004</v>
      </c>
      <c r="H30" s="131"/>
    </row>
    <row r="31" spans="1:8" s="93" customFormat="1" ht="17.25" x14ac:dyDescent="0.25">
      <c r="A31" s="1012"/>
      <c r="B31" s="248"/>
      <c r="C31" s="1011"/>
      <c r="D31" s="106" t="s">
        <v>60</v>
      </c>
      <c r="E31" s="107">
        <v>0.34</v>
      </c>
      <c r="F31" s="108">
        <v>20</v>
      </c>
      <c r="G31" s="185">
        <f t="shared" si="3"/>
        <v>10132000.000000002</v>
      </c>
      <c r="H31" s="131"/>
    </row>
    <row r="32" spans="1:8" s="93" customFormat="1" ht="17.25" x14ac:dyDescent="0.25">
      <c r="A32" s="1012"/>
      <c r="B32" s="248"/>
      <c r="C32" s="1011"/>
      <c r="D32" s="106" t="s">
        <v>64</v>
      </c>
      <c r="E32" s="107">
        <v>0.34</v>
      </c>
      <c r="F32" s="108">
        <v>20</v>
      </c>
      <c r="G32" s="185">
        <f t="shared" si="3"/>
        <v>10132000.000000002</v>
      </c>
      <c r="H32" s="131"/>
    </row>
    <row r="33" spans="1:8" s="93" customFormat="1" ht="17.25" x14ac:dyDescent="0.25">
      <c r="A33" s="1012"/>
      <c r="B33" s="249"/>
      <c r="C33" s="1016"/>
      <c r="D33" s="105" t="s">
        <v>120</v>
      </c>
      <c r="E33" s="110">
        <v>0.34</v>
      </c>
      <c r="F33" s="108">
        <v>15</v>
      </c>
      <c r="G33" s="185">
        <f t="shared" si="3"/>
        <v>7599000.0000000009</v>
      </c>
      <c r="H33" s="131"/>
    </row>
    <row r="34" spans="1:8" s="93" customFormat="1" ht="17.25" x14ac:dyDescent="0.25">
      <c r="A34" s="1012" t="s">
        <v>126</v>
      </c>
      <c r="B34" s="247"/>
      <c r="C34" s="1010" t="s">
        <v>95</v>
      </c>
      <c r="D34" s="109"/>
      <c r="E34" s="110"/>
      <c r="F34" s="100"/>
      <c r="G34" s="130">
        <f>SUM(G35:G36)</f>
        <v>12665000.000000002</v>
      </c>
      <c r="H34" s="131"/>
    </row>
    <row r="35" spans="1:8" s="93" customFormat="1" ht="17.25" x14ac:dyDescent="0.25">
      <c r="A35" s="1012"/>
      <c r="B35" s="248"/>
      <c r="C35" s="1011"/>
      <c r="D35" s="106" t="s">
        <v>60</v>
      </c>
      <c r="E35" s="107">
        <v>0.34</v>
      </c>
      <c r="F35" s="108">
        <v>10</v>
      </c>
      <c r="G35" s="185">
        <f t="shared" si="3"/>
        <v>5066000.0000000009</v>
      </c>
      <c r="H35" s="131"/>
    </row>
    <row r="36" spans="1:8" s="93" customFormat="1" ht="17.25" x14ac:dyDescent="0.25">
      <c r="A36" s="1012"/>
      <c r="B36" s="248"/>
      <c r="C36" s="1011"/>
      <c r="D36" s="105" t="s">
        <v>120</v>
      </c>
      <c r="E36" s="107">
        <v>0.34</v>
      </c>
      <c r="F36" s="108">
        <v>15</v>
      </c>
      <c r="G36" s="185">
        <f t="shared" si="3"/>
        <v>7599000.0000000009</v>
      </c>
      <c r="H36" s="131"/>
    </row>
    <row r="37" spans="1:8" s="148" customFormat="1" ht="82.5" x14ac:dyDescent="0.25">
      <c r="A37" s="176">
        <v>2.4</v>
      </c>
      <c r="B37" s="176"/>
      <c r="C37" s="177" t="s">
        <v>90</v>
      </c>
      <c r="D37" s="109"/>
      <c r="E37" s="110"/>
      <c r="F37" s="100"/>
      <c r="G37" s="127">
        <f>G38+G42</f>
        <v>75990000.000000015</v>
      </c>
      <c r="H37" s="131"/>
    </row>
    <row r="38" spans="1:8" s="119" customFormat="1" ht="17.25" x14ac:dyDescent="0.25">
      <c r="A38" s="1012" t="s">
        <v>83</v>
      </c>
      <c r="B38" s="247"/>
      <c r="C38" s="1010" t="s">
        <v>91</v>
      </c>
      <c r="D38" s="106"/>
      <c r="E38" s="107"/>
      <c r="F38" s="100"/>
      <c r="G38" s="130">
        <f>SUM(G39:G41)</f>
        <v>30396000.000000004</v>
      </c>
      <c r="H38" s="131"/>
    </row>
    <row r="39" spans="1:8" s="119" customFormat="1" ht="17.25" x14ac:dyDescent="0.25">
      <c r="A39" s="1012"/>
      <c r="B39" s="248"/>
      <c r="C39" s="1011"/>
      <c r="D39" s="106" t="s">
        <v>68</v>
      </c>
      <c r="E39" s="107">
        <v>0.34</v>
      </c>
      <c r="F39" s="100">
        <v>30</v>
      </c>
      <c r="G39" s="185">
        <f t="shared" ref="G39:G45" si="4">F39*E39*1490000</f>
        <v>15198000.000000002</v>
      </c>
      <c r="H39" s="131"/>
    </row>
    <row r="40" spans="1:8" s="119" customFormat="1" ht="17.25" x14ac:dyDescent="0.25">
      <c r="A40" s="1012"/>
      <c r="B40" s="248"/>
      <c r="C40" s="1011"/>
      <c r="D40" s="106" t="s">
        <v>117</v>
      </c>
      <c r="E40" s="107">
        <v>0.34</v>
      </c>
      <c r="F40" s="100">
        <v>20</v>
      </c>
      <c r="G40" s="185">
        <f t="shared" si="4"/>
        <v>10132000.000000002</v>
      </c>
      <c r="H40" s="131"/>
    </row>
    <row r="41" spans="1:8" s="148" customFormat="1" ht="17.25" x14ac:dyDescent="0.25">
      <c r="A41" s="1012"/>
      <c r="B41" s="248"/>
      <c r="C41" s="1011"/>
      <c r="D41" s="106" t="s">
        <v>120</v>
      </c>
      <c r="E41" s="107">
        <v>0.34</v>
      </c>
      <c r="F41" s="100">
        <v>10</v>
      </c>
      <c r="G41" s="185">
        <f t="shared" si="4"/>
        <v>5066000.0000000009</v>
      </c>
      <c r="H41" s="140"/>
    </row>
    <row r="42" spans="1:8" s="119" customFormat="1" ht="17.25" x14ac:dyDescent="0.25">
      <c r="A42" s="1013" t="s">
        <v>84</v>
      </c>
      <c r="B42" s="247"/>
      <c r="C42" s="1010" t="s">
        <v>92</v>
      </c>
      <c r="D42" s="106"/>
      <c r="E42" s="107"/>
      <c r="F42" s="100"/>
      <c r="G42" s="130">
        <f>SUM(G43:G45)</f>
        <v>45594000.000000007</v>
      </c>
      <c r="H42" s="131"/>
    </row>
    <row r="43" spans="1:8" s="119" customFormat="1" ht="17.25" x14ac:dyDescent="0.25">
      <c r="A43" s="1014"/>
      <c r="B43" s="248"/>
      <c r="C43" s="1011"/>
      <c r="D43" s="106" t="s">
        <v>68</v>
      </c>
      <c r="E43" s="107">
        <v>0.34</v>
      </c>
      <c r="F43" s="100">
        <v>20</v>
      </c>
      <c r="G43" s="185">
        <f t="shared" si="4"/>
        <v>10132000.000000002</v>
      </c>
      <c r="H43" s="131"/>
    </row>
    <row r="44" spans="1:8" s="149" customFormat="1" ht="17.25" x14ac:dyDescent="0.25">
      <c r="A44" s="1014"/>
      <c r="B44" s="248"/>
      <c r="C44" s="1011"/>
      <c r="D44" s="106" t="s">
        <v>61</v>
      </c>
      <c r="E44" s="107">
        <v>0.34</v>
      </c>
      <c r="F44" s="100">
        <v>40</v>
      </c>
      <c r="G44" s="185">
        <f t="shared" si="4"/>
        <v>20264000.000000004</v>
      </c>
      <c r="H44" s="140"/>
    </row>
    <row r="45" spans="1:8" s="119" customFormat="1" ht="17.25" x14ac:dyDescent="0.25">
      <c r="A45" s="1014"/>
      <c r="B45" s="248"/>
      <c r="C45" s="1011"/>
      <c r="D45" s="105" t="s">
        <v>62</v>
      </c>
      <c r="E45" s="107">
        <v>0.34</v>
      </c>
      <c r="F45" s="100">
        <v>30</v>
      </c>
      <c r="G45" s="185">
        <f t="shared" si="4"/>
        <v>15198000.000000002</v>
      </c>
      <c r="H45" s="131"/>
    </row>
    <row r="46" spans="1:8" s="119" customFormat="1" ht="49.5" x14ac:dyDescent="0.25">
      <c r="A46" s="163">
        <v>2.5</v>
      </c>
      <c r="B46" s="250"/>
      <c r="C46" s="168" t="s">
        <v>96</v>
      </c>
      <c r="D46" s="106"/>
      <c r="E46" s="107"/>
      <c r="F46" s="100"/>
      <c r="G46" s="127">
        <f>G47+G51+G54+G59</f>
        <v>130971000</v>
      </c>
      <c r="H46" s="131"/>
    </row>
    <row r="47" spans="1:8" s="119" customFormat="1" ht="17.25" x14ac:dyDescent="0.25">
      <c r="A47" s="1012" t="s">
        <v>144</v>
      </c>
      <c r="B47" s="247"/>
      <c r="C47" s="1010" t="s">
        <v>97</v>
      </c>
      <c r="D47" s="106"/>
      <c r="E47" s="107"/>
      <c r="F47" s="100"/>
      <c r="G47" s="130">
        <f>SUM(G48:G50)</f>
        <v>38591000</v>
      </c>
      <c r="H47" s="131"/>
    </row>
    <row r="48" spans="1:8" s="119" customFormat="1" ht="17.25" x14ac:dyDescent="0.25">
      <c r="A48" s="1012"/>
      <c r="B48" s="248"/>
      <c r="C48" s="1011"/>
      <c r="D48" s="106" t="s">
        <v>66</v>
      </c>
      <c r="E48" s="107">
        <v>0.34</v>
      </c>
      <c r="F48" s="100">
        <v>30</v>
      </c>
      <c r="G48" s="185">
        <f t="shared" ref="G48:G69" si="5">F48*E48*1490000</f>
        <v>15198000.000000002</v>
      </c>
      <c r="H48" s="131"/>
    </row>
    <row r="49" spans="1:8" s="119" customFormat="1" ht="17.25" x14ac:dyDescent="0.25">
      <c r="A49" s="1012"/>
      <c r="B49" s="248"/>
      <c r="C49" s="1011"/>
      <c r="D49" s="106" t="s">
        <v>58</v>
      </c>
      <c r="E49" s="107">
        <v>0.55000000000000004</v>
      </c>
      <c r="F49" s="100">
        <v>10</v>
      </c>
      <c r="G49" s="185">
        <f t="shared" si="5"/>
        <v>8195000</v>
      </c>
      <c r="H49" s="131"/>
    </row>
    <row r="50" spans="1:8" s="119" customFormat="1" ht="17.25" x14ac:dyDescent="0.25">
      <c r="A50" s="1012"/>
      <c r="B50" s="248"/>
      <c r="C50" s="1011"/>
      <c r="D50" s="106" t="s">
        <v>61</v>
      </c>
      <c r="E50" s="107">
        <v>0.34</v>
      </c>
      <c r="F50" s="100">
        <v>30</v>
      </c>
      <c r="G50" s="185">
        <f t="shared" si="5"/>
        <v>15198000.000000002</v>
      </c>
      <c r="H50" s="131"/>
    </row>
    <row r="51" spans="1:8" s="119" customFormat="1" ht="17.25" x14ac:dyDescent="0.25">
      <c r="A51" s="1012" t="s">
        <v>145</v>
      </c>
      <c r="B51" s="247"/>
      <c r="C51" s="1010" t="s">
        <v>98</v>
      </c>
      <c r="D51" s="106"/>
      <c r="E51" s="107"/>
      <c r="F51" s="100"/>
      <c r="G51" s="130">
        <f>SUM(G52:G53)</f>
        <v>20860000</v>
      </c>
      <c r="H51" s="131"/>
    </row>
    <row r="52" spans="1:8" s="119" customFormat="1" ht="17.25" x14ac:dyDescent="0.25">
      <c r="A52" s="1012"/>
      <c r="B52" s="248"/>
      <c r="C52" s="1011"/>
      <c r="D52" s="106" t="s">
        <v>60</v>
      </c>
      <c r="E52" s="107">
        <v>0.34</v>
      </c>
      <c r="F52" s="100">
        <v>25</v>
      </c>
      <c r="G52" s="185">
        <f t="shared" si="5"/>
        <v>12665000</v>
      </c>
      <c r="H52" s="131"/>
    </row>
    <row r="53" spans="1:8" s="119" customFormat="1" ht="17.25" x14ac:dyDescent="0.25">
      <c r="A53" s="1012"/>
      <c r="B53" s="248"/>
      <c r="C53" s="1011"/>
      <c r="D53" s="106" t="s">
        <v>58</v>
      </c>
      <c r="E53" s="107">
        <v>0.55000000000000004</v>
      </c>
      <c r="F53" s="100">
        <v>10</v>
      </c>
      <c r="G53" s="185">
        <f t="shared" si="5"/>
        <v>8195000</v>
      </c>
      <c r="H53" s="131"/>
    </row>
    <row r="54" spans="1:8" s="119" customFormat="1" ht="17.25" x14ac:dyDescent="0.25">
      <c r="A54" s="1013" t="s">
        <v>146</v>
      </c>
      <c r="B54" s="247"/>
      <c r="C54" s="1010" t="s">
        <v>99</v>
      </c>
      <c r="D54" s="106"/>
      <c r="E54" s="107"/>
      <c r="F54" s="100"/>
      <c r="G54" s="130">
        <f>SUM(G55:G58)</f>
        <v>38591000</v>
      </c>
      <c r="H54" s="131"/>
    </row>
    <row r="55" spans="1:8" s="119" customFormat="1" ht="17.25" x14ac:dyDescent="0.25">
      <c r="A55" s="1014"/>
      <c r="B55" s="248"/>
      <c r="C55" s="1011"/>
      <c r="D55" s="106" t="s">
        <v>57</v>
      </c>
      <c r="E55" s="107">
        <v>0.34</v>
      </c>
      <c r="F55" s="100">
        <v>20</v>
      </c>
      <c r="G55" s="185">
        <f t="shared" si="5"/>
        <v>10132000.000000002</v>
      </c>
      <c r="H55" s="131"/>
    </row>
    <row r="56" spans="1:8" s="119" customFormat="1" ht="17.25" x14ac:dyDescent="0.25">
      <c r="A56" s="1014"/>
      <c r="B56" s="248"/>
      <c r="C56" s="1011"/>
      <c r="D56" s="106" t="s">
        <v>58</v>
      </c>
      <c r="E56" s="107">
        <v>0.55000000000000004</v>
      </c>
      <c r="F56" s="100">
        <v>10</v>
      </c>
      <c r="G56" s="185">
        <f t="shared" si="5"/>
        <v>8195000</v>
      </c>
      <c r="H56" s="131"/>
    </row>
    <row r="57" spans="1:8" s="119" customFormat="1" ht="17.25" x14ac:dyDescent="0.25">
      <c r="A57" s="1014"/>
      <c r="B57" s="248"/>
      <c r="C57" s="1011"/>
      <c r="D57" s="106" t="s">
        <v>64</v>
      </c>
      <c r="E57" s="107">
        <v>0.34</v>
      </c>
      <c r="F57" s="100">
        <v>20</v>
      </c>
      <c r="G57" s="185">
        <f t="shared" si="5"/>
        <v>10132000.000000002</v>
      </c>
      <c r="H57" s="131"/>
    </row>
    <row r="58" spans="1:8" s="190" customFormat="1" ht="17.25" x14ac:dyDescent="0.25">
      <c r="A58" s="1017"/>
      <c r="B58" s="249"/>
      <c r="C58" s="1016"/>
      <c r="D58" s="188" t="s">
        <v>117</v>
      </c>
      <c r="E58" s="191">
        <v>0.34</v>
      </c>
      <c r="F58" s="189">
        <v>20</v>
      </c>
      <c r="G58" s="185">
        <f t="shared" si="5"/>
        <v>10132000.000000002</v>
      </c>
      <c r="H58" s="187"/>
    </row>
    <row r="59" spans="1:8" s="190" customFormat="1" ht="17.25" x14ac:dyDescent="0.25">
      <c r="A59" s="1012" t="s">
        <v>147</v>
      </c>
      <c r="B59" s="246"/>
      <c r="C59" s="1015" t="s">
        <v>100</v>
      </c>
      <c r="D59" s="106"/>
      <c r="E59" s="107"/>
      <c r="F59" s="100"/>
      <c r="G59" s="130">
        <f>SUM(G60:G61)</f>
        <v>32929000</v>
      </c>
      <c r="H59" s="187"/>
    </row>
    <row r="60" spans="1:8" s="190" customFormat="1" ht="17.25" x14ac:dyDescent="0.25">
      <c r="A60" s="1012"/>
      <c r="B60" s="246"/>
      <c r="C60" s="1015"/>
      <c r="D60" s="106" t="s">
        <v>123</v>
      </c>
      <c r="E60" s="107">
        <v>0.34</v>
      </c>
      <c r="F60" s="100">
        <v>35</v>
      </c>
      <c r="G60" s="185">
        <f t="shared" si="5"/>
        <v>17731000</v>
      </c>
      <c r="H60" s="187"/>
    </row>
    <row r="61" spans="1:8" s="190" customFormat="1" ht="17.25" x14ac:dyDescent="0.25">
      <c r="A61" s="1012"/>
      <c r="B61" s="246"/>
      <c r="C61" s="1015"/>
      <c r="D61" s="106" t="s">
        <v>120</v>
      </c>
      <c r="E61" s="107">
        <v>0.34</v>
      </c>
      <c r="F61" s="100">
        <v>30</v>
      </c>
      <c r="G61" s="185">
        <f t="shared" si="5"/>
        <v>15198000.000000002</v>
      </c>
      <c r="H61" s="187"/>
    </row>
    <row r="62" spans="1:8" s="190" customFormat="1" ht="22.5" customHeight="1" x14ac:dyDescent="0.25">
      <c r="A62" s="1021">
        <v>2.6</v>
      </c>
      <c r="B62" s="250"/>
      <c r="C62" s="1018" t="s">
        <v>141</v>
      </c>
      <c r="D62" s="106"/>
      <c r="E62" s="107"/>
      <c r="F62" s="100"/>
      <c r="G62" s="245">
        <f>SUM(G63:G65)</f>
        <v>20264000.000000004</v>
      </c>
      <c r="H62" s="187"/>
    </row>
    <row r="63" spans="1:8" s="190" customFormat="1" ht="17.25" x14ac:dyDescent="0.25">
      <c r="A63" s="1022"/>
      <c r="B63" s="251"/>
      <c r="C63" s="1019"/>
      <c r="D63" s="243" t="s">
        <v>68</v>
      </c>
      <c r="E63" s="107">
        <v>0.34</v>
      </c>
      <c r="F63" s="100">
        <v>10</v>
      </c>
      <c r="G63" s="185">
        <f t="shared" si="5"/>
        <v>5066000.0000000009</v>
      </c>
      <c r="H63" s="187"/>
    </row>
    <row r="64" spans="1:8" s="190" customFormat="1" ht="17.25" x14ac:dyDescent="0.25">
      <c r="A64" s="1022"/>
      <c r="B64" s="251"/>
      <c r="C64" s="1019"/>
      <c r="D64" s="243" t="s">
        <v>64</v>
      </c>
      <c r="E64" s="107">
        <v>0.34</v>
      </c>
      <c r="F64" s="100">
        <v>10</v>
      </c>
      <c r="G64" s="185">
        <f t="shared" si="5"/>
        <v>5066000.0000000009</v>
      </c>
      <c r="H64" s="187"/>
    </row>
    <row r="65" spans="1:8" s="190" customFormat="1" ht="17.25" x14ac:dyDescent="0.25">
      <c r="A65" s="1023"/>
      <c r="B65" s="252"/>
      <c r="C65" s="1020"/>
      <c r="D65" s="243" t="s">
        <v>57</v>
      </c>
      <c r="E65" s="107">
        <v>0.34</v>
      </c>
      <c r="F65" s="100">
        <v>20</v>
      </c>
      <c r="G65" s="185">
        <f t="shared" si="5"/>
        <v>10132000.000000002</v>
      </c>
      <c r="H65" s="187"/>
    </row>
    <row r="66" spans="1:8" s="119" customFormat="1" ht="33" x14ac:dyDescent="0.25">
      <c r="A66" s="111" t="s">
        <v>142</v>
      </c>
      <c r="B66" s="111"/>
      <c r="C66" s="112" t="s">
        <v>140</v>
      </c>
      <c r="D66" s="112"/>
      <c r="E66" s="112"/>
      <c r="F66" s="113"/>
      <c r="G66" s="241">
        <f>SUM(G67:G69)</f>
        <v>31588000</v>
      </c>
      <c r="H66" s="131"/>
    </row>
    <row r="67" spans="1:8" s="119" customFormat="1" ht="17.25" x14ac:dyDescent="0.25">
      <c r="A67" s="1006"/>
      <c r="B67" s="253"/>
      <c r="C67" s="1008" t="s">
        <v>27</v>
      </c>
      <c r="D67" s="60" t="s">
        <v>58</v>
      </c>
      <c r="E67" s="99">
        <v>0.55000000000000004</v>
      </c>
      <c r="F67" s="100">
        <v>20</v>
      </c>
      <c r="G67" s="185">
        <f t="shared" si="5"/>
        <v>16390000</v>
      </c>
      <c r="H67" s="131"/>
    </row>
    <row r="68" spans="1:8" s="119" customFormat="1" ht="17.25" x14ac:dyDescent="0.25">
      <c r="A68" s="1007"/>
      <c r="B68" s="254"/>
      <c r="C68" s="1009"/>
      <c r="D68" s="60" t="s">
        <v>60</v>
      </c>
      <c r="E68" s="99">
        <v>0.34</v>
      </c>
      <c r="F68" s="100">
        <v>15</v>
      </c>
      <c r="G68" s="185">
        <f t="shared" si="5"/>
        <v>7599000.0000000009</v>
      </c>
      <c r="H68" s="131"/>
    </row>
    <row r="69" spans="1:8" s="119" customFormat="1" ht="17.25" x14ac:dyDescent="0.25">
      <c r="A69" s="1007"/>
      <c r="B69" s="254"/>
      <c r="C69" s="1009"/>
      <c r="D69" s="60" t="s">
        <v>68</v>
      </c>
      <c r="E69" s="99">
        <f>E23</f>
        <v>0.34</v>
      </c>
      <c r="F69" s="100">
        <v>15</v>
      </c>
      <c r="G69" s="185">
        <f t="shared" si="5"/>
        <v>7599000.0000000009</v>
      </c>
      <c r="H69" s="131"/>
    </row>
    <row r="70" spans="1:8" s="93" customFormat="1" ht="16.5" x14ac:dyDescent="0.25">
      <c r="A70" s="117"/>
      <c r="B70" s="117"/>
      <c r="C70" s="120" t="s">
        <v>69</v>
      </c>
      <c r="D70" s="120"/>
      <c r="E70" s="120"/>
      <c r="F70" s="121">
        <f>F6+F11+F66</f>
        <v>705</v>
      </c>
      <c r="G70" s="121" t="e">
        <f>G6+G11</f>
        <v>#REF!</v>
      </c>
      <c r="H70" s="131"/>
    </row>
    <row r="71" spans="1:8" s="93" customFormat="1" ht="16.5" x14ac:dyDescent="0.25">
      <c r="A71" s="117"/>
      <c r="B71" s="117"/>
      <c r="C71" s="120" t="s">
        <v>70</v>
      </c>
      <c r="D71" s="120"/>
      <c r="E71" s="120"/>
      <c r="F71" s="122">
        <f>F70/24/8</f>
        <v>3.671875</v>
      </c>
      <c r="G71" s="123"/>
    </row>
    <row r="72" spans="1:8" x14ac:dyDescent="0.25">
      <c r="G72" s="124"/>
    </row>
    <row r="73" spans="1:8" x14ac:dyDescent="0.25">
      <c r="G73" s="125"/>
    </row>
    <row r="75" spans="1:8" x14ac:dyDescent="0.25">
      <c r="F75" s="153"/>
    </row>
    <row r="76" spans="1:8" x14ac:dyDescent="0.25">
      <c r="F76" s="153"/>
    </row>
    <row r="77" spans="1:8" x14ac:dyDescent="0.25">
      <c r="F77" s="153"/>
    </row>
    <row r="78" spans="1:8" x14ac:dyDescent="0.25">
      <c r="F78" s="167"/>
    </row>
    <row r="79" spans="1:8" x14ac:dyDescent="0.25">
      <c r="F79" s="92"/>
    </row>
    <row r="80" spans="1:8" x14ac:dyDescent="0.25">
      <c r="F80" s="126"/>
    </row>
  </sheetData>
  <autoFilter ref="D5:D72" xr:uid="{00000000-0009-0000-0000-000002000000}"/>
  <dataConsolidate/>
  <mergeCells count="31">
    <mergeCell ref="C34:C36"/>
    <mergeCell ref="A34:A36"/>
    <mergeCell ref="C30:C33"/>
    <mergeCell ref="A30:A33"/>
    <mergeCell ref="A8:A10"/>
    <mergeCell ref="C8:C10"/>
    <mergeCell ref="A21:A23"/>
    <mergeCell ref="A28:A29"/>
    <mergeCell ref="A2:G2"/>
    <mergeCell ref="C25:C27"/>
    <mergeCell ref="A25:A27"/>
    <mergeCell ref="C20:C23"/>
    <mergeCell ref="C28:C29"/>
    <mergeCell ref="C12:C19"/>
    <mergeCell ref="A12:A19"/>
    <mergeCell ref="A67:A69"/>
    <mergeCell ref="C67:C69"/>
    <mergeCell ref="C38:C41"/>
    <mergeCell ref="A38:A41"/>
    <mergeCell ref="A42:A45"/>
    <mergeCell ref="C42:C45"/>
    <mergeCell ref="A59:A61"/>
    <mergeCell ref="C59:C61"/>
    <mergeCell ref="C51:C53"/>
    <mergeCell ref="A51:A53"/>
    <mergeCell ref="C54:C58"/>
    <mergeCell ref="A54:A58"/>
    <mergeCell ref="A47:A50"/>
    <mergeCell ref="C47:C50"/>
    <mergeCell ref="C62:C65"/>
    <mergeCell ref="A62:A65"/>
  </mergeCells>
  <pageMargins left="0.7" right="0.4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L23"/>
  <sheetViews>
    <sheetView topLeftCell="A10" zoomScale="85" zoomScaleNormal="85" workbookViewId="0">
      <selection activeCell="F6" sqref="F6"/>
    </sheetView>
  </sheetViews>
  <sheetFormatPr defaultColWidth="33.42578125" defaultRowHeight="15.75" x14ac:dyDescent="0.25"/>
  <cols>
    <col min="1" max="1" width="4.42578125" style="77" customWidth="1"/>
    <col min="2" max="2" width="10.28515625" style="77" customWidth="1"/>
    <col min="3" max="3" width="22.42578125" style="77" customWidth="1"/>
    <col min="4" max="4" width="33.7109375" style="77" customWidth="1"/>
    <col min="5" max="5" width="16.28515625" style="77" customWidth="1"/>
    <col min="6" max="6" width="15.7109375" style="143" customWidth="1"/>
    <col min="7" max="244" width="9" style="77" customWidth="1"/>
    <col min="245" max="245" width="5" style="77" customWidth="1"/>
    <col min="246" max="246" width="33.42578125" style="77"/>
    <col min="247" max="247" width="4.42578125" style="77" customWidth="1"/>
    <col min="248" max="248" width="29.42578125" style="77" customWidth="1"/>
    <col min="249" max="249" width="43.28515625" style="77" customWidth="1"/>
    <col min="250" max="250" width="0" style="77" hidden="1" customWidth="1"/>
    <col min="251" max="251" width="11.7109375" style="77" customWidth="1"/>
    <col min="252" max="253" width="8.42578125" style="77" customWidth="1"/>
    <col min="254" max="254" width="9.28515625" style="77" customWidth="1"/>
    <col min="255" max="255" width="10.7109375" style="77" bestFit="1" customWidth="1"/>
    <col min="256" max="257" width="11.7109375" style="77" customWidth="1"/>
    <col min="258" max="258" width="12.42578125" style="77" bestFit="1" customWidth="1"/>
    <col min="259" max="259" width="12.7109375" style="77" customWidth="1"/>
    <col min="260" max="260" width="10.42578125" style="77" customWidth="1"/>
    <col min="261" max="261" width="15.28515625" style="77" customWidth="1"/>
    <col min="262" max="262" width="15.7109375" style="77" customWidth="1"/>
    <col min="263" max="500" width="9" style="77" customWidth="1"/>
    <col min="501" max="501" width="5" style="77" customWidth="1"/>
    <col min="502" max="502" width="33.42578125" style="77"/>
    <col min="503" max="503" width="4.42578125" style="77" customWidth="1"/>
    <col min="504" max="504" width="29.42578125" style="77" customWidth="1"/>
    <col min="505" max="505" width="43.28515625" style="77" customWidth="1"/>
    <col min="506" max="506" width="0" style="77" hidden="1" customWidth="1"/>
    <col min="507" max="507" width="11.7109375" style="77" customWidth="1"/>
    <col min="508" max="509" width="8.42578125" style="77" customWidth="1"/>
    <col min="510" max="510" width="9.28515625" style="77" customWidth="1"/>
    <col min="511" max="511" width="10.7109375" style="77" bestFit="1" customWidth="1"/>
    <col min="512" max="513" width="11.7109375" style="77" customWidth="1"/>
    <col min="514" max="514" width="12.42578125" style="77" bestFit="1" customWidth="1"/>
    <col min="515" max="515" width="12.7109375" style="77" customWidth="1"/>
    <col min="516" max="516" width="10.42578125" style="77" customWidth="1"/>
    <col min="517" max="517" width="15.28515625" style="77" customWidth="1"/>
    <col min="518" max="518" width="15.7109375" style="77" customWidth="1"/>
    <col min="519" max="756" width="9" style="77" customWidth="1"/>
    <col min="757" max="757" width="5" style="77" customWidth="1"/>
    <col min="758" max="758" width="33.42578125" style="77"/>
    <col min="759" max="759" width="4.42578125" style="77" customWidth="1"/>
    <col min="760" max="760" width="29.42578125" style="77" customWidth="1"/>
    <col min="761" max="761" width="43.28515625" style="77" customWidth="1"/>
    <col min="762" max="762" width="0" style="77" hidden="1" customWidth="1"/>
    <col min="763" max="763" width="11.7109375" style="77" customWidth="1"/>
    <col min="764" max="765" width="8.42578125" style="77" customWidth="1"/>
    <col min="766" max="766" width="9.28515625" style="77" customWidth="1"/>
    <col min="767" max="767" width="10.7109375" style="77" bestFit="1" customWidth="1"/>
    <col min="768" max="769" width="11.7109375" style="77" customWidth="1"/>
    <col min="770" max="770" width="12.42578125" style="77" bestFit="1" customWidth="1"/>
    <col min="771" max="771" width="12.7109375" style="77" customWidth="1"/>
    <col min="772" max="772" width="10.42578125" style="77" customWidth="1"/>
    <col min="773" max="773" width="15.28515625" style="77" customWidth="1"/>
    <col min="774" max="774" width="15.7109375" style="77" customWidth="1"/>
    <col min="775" max="1012" width="9" style="77" customWidth="1"/>
    <col min="1013" max="1013" width="5" style="77" customWidth="1"/>
    <col min="1014" max="1014" width="33.42578125" style="77"/>
    <col min="1015" max="1015" width="4.42578125" style="77" customWidth="1"/>
    <col min="1016" max="1016" width="29.42578125" style="77" customWidth="1"/>
    <col min="1017" max="1017" width="43.28515625" style="77" customWidth="1"/>
    <col min="1018" max="1018" width="0" style="77" hidden="1" customWidth="1"/>
    <col min="1019" max="1019" width="11.7109375" style="77" customWidth="1"/>
    <col min="1020" max="1021" width="8.42578125" style="77" customWidth="1"/>
    <col min="1022" max="1022" width="9.28515625" style="77" customWidth="1"/>
    <col min="1023" max="1023" width="10.7109375" style="77" bestFit="1" customWidth="1"/>
    <col min="1024" max="1025" width="11.7109375" style="77" customWidth="1"/>
    <col min="1026" max="1026" width="12.42578125" style="77" bestFit="1" customWidth="1"/>
    <col min="1027" max="1027" width="12.7109375" style="77" customWidth="1"/>
    <col min="1028" max="1028" width="10.42578125" style="77" customWidth="1"/>
    <col min="1029" max="1029" width="15.28515625" style="77" customWidth="1"/>
    <col min="1030" max="1030" width="15.7109375" style="77" customWidth="1"/>
    <col min="1031" max="1268" width="9" style="77" customWidth="1"/>
    <col min="1269" max="1269" width="5" style="77" customWidth="1"/>
    <col min="1270" max="1270" width="33.42578125" style="77"/>
    <col min="1271" max="1271" width="4.42578125" style="77" customWidth="1"/>
    <col min="1272" max="1272" width="29.42578125" style="77" customWidth="1"/>
    <col min="1273" max="1273" width="43.28515625" style="77" customWidth="1"/>
    <col min="1274" max="1274" width="0" style="77" hidden="1" customWidth="1"/>
    <col min="1275" max="1275" width="11.7109375" style="77" customWidth="1"/>
    <col min="1276" max="1277" width="8.42578125" style="77" customWidth="1"/>
    <col min="1278" max="1278" width="9.28515625" style="77" customWidth="1"/>
    <col min="1279" max="1279" width="10.7109375" style="77" bestFit="1" customWidth="1"/>
    <col min="1280" max="1281" width="11.7109375" style="77" customWidth="1"/>
    <col min="1282" max="1282" width="12.42578125" style="77" bestFit="1" customWidth="1"/>
    <col min="1283" max="1283" width="12.7109375" style="77" customWidth="1"/>
    <col min="1284" max="1284" width="10.42578125" style="77" customWidth="1"/>
    <col min="1285" max="1285" width="15.28515625" style="77" customWidth="1"/>
    <col min="1286" max="1286" width="15.7109375" style="77" customWidth="1"/>
    <col min="1287" max="1524" width="9" style="77" customWidth="1"/>
    <col min="1525" max="1525" width="5" style="77" customWidth="1"/>
    <col min="1526" max="1526" width="33.42578125" style="77"/>
    <col min="1527" max="1527" width="4.42578125" style="77" customWidth="1"/>
    <col min="1528" max="1528" width="29.42578125" style="77" customWidth="1"/>
    <col min="1529" max="1529" width="43.28515625" style="77" customWidth="1"/>
    <col min="1530" max="1530" width="0" style="77" hidden="1" customWidth="1"/>
    <col min="1531" max="1531" width="11.7109375" style="77" customWidth="1"/>
    <col min="1532" max="1533" width="8.42578125" style="77" customWidth="1"/>
    <col min="1534" max="1534" width="9.28515625" style="77" customWidth="1"/>
    <col min="1535" max="1535" width="10.7109375" style="77" bestFit="1" customWidth="1"/>
    <col min="1536" max="1537" width="11.7109375" style="77" customWidth="1"/>
    <col min="1538" max="1538" width="12.42578125" style="77" bestFit="1" customWidth="1"/>
    <col min="1539" max="1539" width="12.7109375" style="77" customWidth="1"/>
    <col min="1540" max="1540" width="10.42578125" style="77" customWidth="1"/>
    <col min="1541" max="1541" width="15.28515625" style="77" customWidth="1"/>
    <col min="1542" max="1542" width="15.7109375" style="77" customWidth="1"/>
    <col min="1543" max="1780" width="9" style="77" customWidth="1"/>
    <col min="1781" max="1781" width="5" style="77" customWidth="1"/>
    <col min="1782" max="1782" width="33.42578125" style="77"/>
    <col min="1783" max="1783" width="4.42578125" style="77" customWidth="1"/>
    <col min="1784" max="1784" width="29.42578125" style="77" customWidth="1"/>
    <col min="1785" max="1785" width="43.28515625" style="77" customWidth="1"/>
    <col min="1786" max="1786" width="0" style="77" hidden="1" customWidth="1"/>
    <col min="1787" max="1787" width="11.7109375" style="77" customWidth="1"/>
    <col min="1788" max="1789" width="8.42578125" style="77" customWidth="1"/>
    <col min="1790" max="1790" width="9.28515625" style="77" customWidth="1"/>
    <col min="1791" max="1791" width="10.7109375" style="77" bestFit="1" customWidth="1"/>
    <col min="1792" max="1793" width="11.7109375" style="77" customWidth="1"/>
    <col min="1794" max="1794" width="12.42578125" style="77" bestFit="1" customWidth="1"/>
    <col min="1795" max="1795" width="12.7109375" style="77" customWidth="1"/>
    <col min="1796" max="1796" width="10.42578125" style="77" customWidth="1"/>
    <col min="1797" max="1797" width="15.28515625" style="77" customWidth="1"/>
    <col min="1798" max="1798" width="15.7109375" style="77" customWidth="1"/>
    <col min="1799" max="2036" width="9" style="77" customWidth="1"/>
    <col min="2037" max="2037" width="5" style="77" customWidth="1"/>
    <col min="2038" max="2038" width="33.42578125" style="77"/>
    <col min="2039" max="2039" width="4.42578125" style="77" customWidth="1"/>
    <col min="2040" max="2040" width="29.42578125" style="77" customWidth="1"/>
    <col min="2041" max="2041" width="43.28515625" style="77" customWidth="1"/>
    <col min="2042" max="2042" width="0" style="77" hidden="1" customWidth="1"/>
    <col min="2043" max="2043" width="11.7109375" style="77" customWidth="1"/>
    <col min="2044" max="2045" width="8.42578125" style="77" customWidth="1"/>
    <col min="2046" max="2046" width="9.28515625" style="77" customWidth="1"/>
    <col min="2047" max="2047" width="10.7109375" style="77" bestFit="1" customWidth="1"/>
    <col min="2048" max="2049" width="11.7109375" style="77" customWidth="1"/>
    <col min="2050" max="2050" width="12.42578125" style="77" bestFit="1" customWidth="1"/>
    <col min="2051" max="2051" width="12.7109375" style="77" customWidth="1"/>
    <col min="2052" max="2052" width="10.42578125" style="77" customWidth="1"/>
    <col min="2053" max="2053" width="15.28515625" style="77" customWidth="1"/>
    <col min="2054" max="2054" width="15.7109375" style="77" customWidth="1"/>
    <col min="2055" max="2292" width="9" style="77" customWidth="1"/>
    <col min="2293" max="2293" width="5" style="77" customWidth="1"/>
    <col min="2294" max="2294" width="33.42578125" style="77"/>
    <col min="2295" max="2295" width="4.42578125" style="77" customWidth="1"/>
    <col min="2296" max="2296" width="29.42578125" style="77" customWidth="1"/>
    <col min="2297" max="2297" width="43.28515625" style="77" customWidth="1"/>
    <col min="2298" max="2298" width="0" style="77" hidden="1" customWidth="1"/>
    <col min="2299" max="2299" width="11.7109375" style="77" customWidth="1"/>
    <col min="2300" max="2301" width="8.42578125" style="77" customWidth="1"/>
    <col min="2302" max="2302" width="9.28515625" style="77" customWidth="1"/>
    <col min="2303" max="2303" width="10.7109375" style="77" bestFit="1" customWidth="1"/>
    <col min="2304" max="2305" width="11.7109375" style="77" customWidth="1"/>
    <col min="2306" max="2306" width="12.42578125" style="77" bestFit="1" customWidth="1"/>
    <col min="2307" max="2307" width="12.7109375" style="77" customWidth="1"/>
    <col min="2308" max="2308" width="10.42578125" style="77" customWidth="1"/>
    <col min="2309" max="2309" width="15.28515625" style="77" customWidth="1"/>
    <col min="2310" max="2310" width="15.7109375" style="77" customWidth="1"/>
    <col min="2311" max="2548" width="9" style="77" customWidth="1"/>
    <col min="2549" max="2549" width="5" style="77" customWidth="1"/>
    <col min="2550" max="2550" width="33.42578125" style="77"/>
    <col min="2551" max="2551" width="4.42578125" style="77" customWidth="1"/>
    <col min="2552" max="2552" width="29.42578125" style="77" customWidth="1"/>
    <col min="2553" max="2553" width="43.28515625" style="77" customWidth="1"/>
    <col min="2554" max="2554" width="0" style="77" hidden="1" customWidth="1"/>
    <col min="2555" max="2555" width="11.7109375" style="77" customWidth="1"/>
    <col min="2556" max="2557" width="8.42578125" style="77" customWidth="1"/>
    <col min="2558" max="2558" width="9.28515625" style="77" customWidth="1"/>
    <col min="2559" max="2559" width="10.7109375" style="77" bestFit="1" customWidth="1"/>
    <col min="2560" max="2561" width="11.7109375" style="77" customWidth="1"/>
    <col min="2562" max="2562" width="12.42578125" style="77" bestFit="1" customWidth="1"/>
    <col min="2563" max="2563" width="12.7109375" style="77" customWidth="1"/>
    <col min="2564" max="2564" width="10.42578125" style="77" customWidth="1"/>
    <col min="2565" max="2565" width="15.28515625" style="77" customWidth="1"/>
    <col min="2566" max="2566" width="15.7109375" style="77" customWidth="1"/>
    <col min="2567" max="2804" width="9" style="77" customWidth="1"/>
    <col min="2805" max="2805" width="5" style="77" customWidth="1"/>
    <col min="2806" max="2806" width="33.42578125" style="77"/>
    <col min="2807" max="2807" width="4.42578125" style="77" customWidth="1"/>
    <col min="2808" max="2808" width="29.42578125" style="77" customWidth="1"/>
    <col min="2809" max="2809" width="43.28515625" style="77" customWidth="1"/>
    <col min="2810" max="2810" width="0" style="77" hidden="1" customWidth="1"/>
    <col min="2811" max="2811" width="11.7109375" style="77" customWidth="1"/>
    <col min="2812" max="2813" width="8.42578125" style="77" customWidth="1"/>
    <col min="2814" max="2814" width="9.28515625" style="77" customWidth="1"/>
    <col min="2815" max="2815" width="10.7109375" style="77" bestFit="1" customWidth="1"/>
    <col min="2816" max="2817" width="11.7109375" style="77" customWidth="1"/>
    <col min="2818" max="2818" width="12.42578125" style="77" bestFit="1" customWidth="1"/>
    <col min="2819" max="2819" width="12.7109375" style="77" customWidth="1"/>
    <col min="2820" max="2820" width="10.42578125" style="77" customWidth="1"/>
    <col min="2821" max="2821" width="15.28515625" style="77" customWidth="1"/>
    <col min="2822" max="2822" width="15.7109375" style="77" customWidth="1"/>
    <col min="2823" max="3060" width="9" style="77" customWidth="1"/>
    <col min="3061" max="3061" width="5" style="77" customWidth="1"/>
    <col min="3062" max="3062" width="33.42578125" style="77"/>
    <col min="3063" max="3063" width="4.42578125" style="77" customWidth="1"/>
    <col min="3064" max="3064" width="29.42578125" style="77" customWidth="1"/>
    <col min="3065" max="3065" width="43.28515625" style="77" customWidth="1"/>
    <col min="3066" max="3066" width="0" style="77" hidden="1" customWidth="1"/>
    <col min="3067" max="3067" width="11.7109375" style="77" customWidth="1"/>
    <col min="3068" max="3069" width="8.42578125" style="77" customWidth="1"/>
    <col min="3070" max="3070" width="9.28515625" style="77" customWidth="1"/>
    <col min="3071" max="3071" width="10.7109375" style="77" bestFit="1" customWidth="1"/>
    <col min="3072" max="3073" width="11.7109375" style="77" customWidth="1"/>
    <col min="3074" max="3074" width="12.42578125" style="77" bestFit="1" customWidth="1"/>
    <col min="3075" max="3075" width="12.7109375" style="77" customWidth="1"/>
    <col min="3076" max="3076" width="10.42578125" style="77" customWidth="1"/>
    <col min="3077" max="3077" width="15.28515625" style="77" customWidth="1"/>
    <col min="3078" max="3078" width="15.7109375" style="77" customWidth="1"/>
    <col min="3079" max="3316" width="9" style="77" customWidth="1"/>
    <col min="3317" max="3317" width="5" style="77" customWidth="1"/>
    <col min="3318" max="3318" width="33.42578125" style="77"/>
    <col min="3319" max="3319" width="4.42578125" style="77" customWidth="1"/>
    <col min="3320" max="3320" width="29.42578125" style="77" customWidth="1"/>
    <col min="3321" max="3321" width="43.28515625" style="77" customWidth="1"/>
    <col min="3322" max="3322" width="0" style="77" hidden="1" customWidth="1"/>
    <col min="3323" max="3323" width="11.7109375" style="77" customWidth="1"/>
    <col min="3324" max="3325" width="8.42578125" style="77" customWidth="1"/>
    <col min="3326" max="3326" width="9.28515625" style="77" customWidth="1"/>
    <col min="3327" max="3327" width="10.7109375" style="77" bestFit="1" customWidth="1"/>
    <col min="3328" max="3329" width="11.7109375" style="77" customWidth="1"/>
    <col min="3330" max="3330" width="12.42578125" style="77" bestFit="1" customWidth="1"/>
    <col min="3331" max="3331" width="12.7109375" style="77" customWidth="1"/>
    <col min="3332" max="3332" width="10.42578125" style="77" customWidth="1"/>
    <col min="3333" max="3333" width="15.28515625" style="77" customWidth="1"/>
    <col min="3334" max="3334" width="15.7109375" style="77" customWidth="1"/>
    <col min="3335" max="3572" width="9" style="77" customWidth="1"/>
    <col min="3573" max="3573" width="5" style="77" customWidth="1"/>
    <col min="3574" max="3574" width="33.42578125" style="77"/>
    <col min="3575" max="3575" width="4.42578125" style="77" customWidth="1"/>
    <col min="3576" max="3576" width="29.42578125" style="77" customWidth="1"/>
    <col min="3577" max="3577" width="43.28515625" style="77" customWidth="1"/>
    <col min="3578" max="3578" width="0" style="77" hidden="1" customWidth="1"/>
    <col min="3579" max="3579" width="11.7109375" style="77" customWidth="1"/>
    <col min="3580" max="3581" width="8.42578125" style="77" customWidth="1"/>
    <col min="3582" max="3582" width="9.28515625" style="77" customWidth="1"/>
    <col min="3583" max="3583" width="10.7109375" style="77" bestFit="1" customWidth="1"/>
    <col min="3584" max="3585" width="11.7109375" style="77" customWidth="1"/>
    <col min="3586" max="3586" width="12.42578125" style="77" bestFit="1" customWidth="1"/>
    <col min="3587" max="3587" width="12.7109375" style="77" customWidth="1"/>
    <col min="3588" max="3588" width="10.42578125" style="77" customWidth="1"/>
    <col min="3589" max="3589" width="15.28515625" style="77" customWidth="1"/>
    <col min="3590" max="3590" width="15.7109375" style="77" customWidth="1"/>
    <col min="3591" max="3828" width="9" style="77" customWidth="1"/>
    <col min="3829" max="3829" width="5" style="77" customWidth="1"/>
    <col min="3830" max="3830" width="33.42578125" style="77"/>
    <col min="3831" max="3831" width="4.42578125" style="77" customWidth="1"/>
    <col min="3832" max="3832" width="29.42578125" style="77" customWidth="1"/>
    <col min="3833" max="3833" width="43.28515625" style="77" customWidth="1"/>
    <col min="3834" max="3834" width="0" style="77" hidden="1" customWidth="1"/>
    <col min="3835" max="3835" width="11.7109375" style="77" customWidth="1"/>
    <col min="3836" max="3837" width="8.42578125" style="77" customWidth="1"/>
    <col min="3838" max="3838" width="9.28515625" style="77" customWidth="1"/>
    <col min="3839" max="3839" width="10.7109375" style="77" bestFit="1" customWidth="1"/>
    <col min="3840" max="3841" width="11.7109375" style="77" customWidth="1"/>
    <col min="3842" max="3842" width="12.42578125" style="77" bestFit="1" customWidth="1"/>
    <col min="3843" max="3843" width="12.7109375" style="77" customWidth="1"/>
    <col min="3844" max="3844" width="10.42578125" style="77" customWidth="1"/>
    <col min="3845" max="3845" width="15.28515625" style="77" customWidth="1"/>
    <col min="3846" max="3846" width="15.7109375" style="77" customWidth="1"/>
    <col min="3847" max="4084" width="9" style="77" customWidth="1"/>
    <col min="4085" max="4085" width="5" style="77" customWidth="1"/>
    <col min="4086" max="4086" width="33.42578125" style="77"/>
    <col min="4087" max="4087" width="4.42578125" style="77" customWidth="1"/>
    <col min="4088" max="4088" width="29.42578125" style="77" customWidth="1"/>
    <col min="4089" max="4089" width="43.28515625" style="77" customWidth="1"/>
    <col min="4090" max="4090" width="0" style="77" hidden="1" customWidth="1"/>
    <col min="4091" max="4091" width="11.7109375" style="77" customWidth="1"/>
    <col min="4092" max="4093" width="8.42578125" style="77" customWidth="1"/>
    <col min="4094" max="4094" width="9.28515625" style="77" customWidth="1"/>
    <col min="4095" max="4095" width="10.7109375" style="77" bestFit="1" customWidth="1"/>
    <col min="4096" max="4097" width="11.7109375" style="77" customWidth="1"/>
    <col min="4098" max="4098" width="12.42578125" style="77" bestFit="1" customWidth="1"/>
    <col min="4099" max="4099" width="12.7109375" style="77" customWidth="1"/>
    <col min="4100" max="4100" width="10.42578125" style="77" customWidth="1"/>
    <col min="4101" max="4101" width="15.28515625" style="77" customWidth="1"/>
    <col min="4102" max="4102" width="15.7109375" style="77" customWidth="1"/>
    <col min="4103" max="4340" width="9" style="77" customWidth="1"/>
    <col min="4341" max="4341" width="5" style="77" customWidth="1"/>
    <col min="4342" max="4342" width="33.42578125" style="77"/>
    <col min="4343" max="4343" width="4.42578125" style="77" customWidth="1"/>
    <col min="4344" max="4344" width="29.42578125" style="77" customWidth="1"/>
    <col min="4345" max="4345" width="43.28515625" style="77" customWidth="1"/>
    <col min="4346" max="4346" width="0" style="77" hidden="1" customWidth="1"/>
    <col min="4347" max="4347" width="11.7109375" style="77" customWidth="1"/>
    <col min="4348" max="4349" width="8.42578125" style="77" customWidth="1"/>
    <col min="4350" max="4350" width="9.28515625" style="77" customWidth="1"/>
    <col min="4351" max="4351" width="10.7109375" style="77" bestFit="1" customWidth="1"/>
    <col min="4352" max="4353" width="11.7109375" style="77" customWidth="1"/>
    <col min="4354" max="4354" width="12.42578125" style="77" bestFit="1" customWidth="1"/>
    <col min="4355" max="4355" width="12.7109375" style="77" customWidth="1"/>
    <col min="4356" max="4356" width="10.42578125" style="77" customWidth="1"/>
    <col min="4357" max="4357" width="15.28515625" style="77" customWidth="1"/>
    <col min="4358" max="4358" width="15.7109375" style="77" customWidth="1"/>
    <col min="4359" max="4596" width="9" style="77" customWidth="1"/>
    <col min="4597" max="4597" width="5" style="77" customWidth="1"/>
    <col min="4598" max="4598" width="33.42578125" style="77"/>
    <col min="4599" max="4599" width="4.42578125" style="77" customWidth="1"/>
    <col min="4600" max="4600" width="29.42578125" style="77" customWidth="1"/>
    <col min="4601" max="4601" width="43.28515625" style="77" customWidth="1"/>
    <col min="4602" max="4602" width="0" style="77" hidden="1" customWidth="1"/>
    <col min="4603" max="4603" width="11.7109375" style="77" customWidth="1"/>
    <col min="4604" max="4605" width="8.42578125" style="77" customWidth="1"/>
    <col min="4606" max="4606" width="9.28515625" style="77" customWidth="1"/>
    <col min="4607" max="4607" width="10.7109375" style="77" bestFit="1" customWidth="1"/>
    <col min="4608" max="4609" width="11.7109375" style="77" customWidth="1"/>
    <col min="4610" max="4610" width="12.42578125" style="77" bestFit="1" customWidth="1"/>
    <col min="4611" max="4611" width="12.7109375" style="77" customWidth="1"/>
    <col min="4612" max="4612" width="10.42578125" style="77" customWidth="1"/>
    <col min="4613" max="4613" width="15.28515625" style="77" customWidth="1"/>
    <col min="4614" max="4614" width="15.7109375" style="77" customWidth="1"/>
    <col min="4615" max="4852" width="9" style="77" customWidth="1"/>
    <col min="4853" max="4853" width="5" style="77" customWidth="1"/>
    <col min="4854" max="4854" width="33.42578125" style="77"/>
    <col min="4855" max="4855" width="4.42578125" style="77" customWidth="1"/>
    <col min="4856" max="4856" width="29.42578125" style="77" customWidth="1"/>
    <col min="4857" max="4857" width="43.28515625" style="77" customWidth="1"/>
    <col min="4858" max="4858" width="0" style="77" hidden="1" customWidth="1"/>
    <col min="4859" max="4859" width="11.7109375" style="77" customWidth="1"/>
    <col min="4860" max="4861" width="8.42578125" style="77" customWidth="1"/>
    <col min="4862" max="4862" width="9.28515625" style="77" customWidth="1"/>
    <col min="4863" max="4863" width="10.7109375" style="77" bestFit="1" customWidth="1"/>
    <col min="4864" max="4865" width="11.7109375" style="77" customWidth="1"/>
    <col min="4866" max="4866" width="12.42578125" style="77" bestFit="1" customWidth="1"/>
    <col min="4867" max="4867" width="12.7109375" style="77" customWidth="1"/>
    <col min="4868" max="4868" width="10.42578125" style="77" customWidth="1"/>
    <col min="4869" max="4869" width="15.28515625" style="77" customWidth="1"/>
    <col min="4870" max="4870" width="15.7109375" style="77" customWidth="1"/>
    <col min="4871" max="5108" width="9" style="77" customWidth="1"/>
    <col min="5109" max="5109" width="5" style="77" customWidth="1"/>
    <col min="5110" max="5110" width="33.42578125" style="77"/>
    <col min="5111" max="5111" width="4.42578125" style="77" customWidth="1"/>
    <col min="5112" max="5112" width="29.42578125" style="77" customWidth="1"/>
    <col min="5113" max="5113" width="43.28515625" style="77" customWidth="1"/>
    <col min="5114" max="5114" width="0" style="77" hidden="1" customWidth="1"/>
    <col min="5115" max="5115" width="11.7109375" style="77" customWidth="1"/>
    <col min="5116" max="5117" width="8.42578125" style="77" customWidth="1"/>
    <col min="5118" max="5118" width="9.28515625" style="77" customWidth="1"/>
    <col min="5119" max="5119" width="10.7109375" style="77" bestFit="1" customWidth="1"/>
    <col min="5120" max="5121" width="11.7109375" style="77" customWidth="1"/>
    <col min="5122" max="5122" width="12.42578125" style="77" bestFit="1" customWidth="1"/>
    <col min="5123" max="5123" width="12.7109375" style="77" customWidth="1"/>
    <col min="5124" max="5124" width="10.42578125" style="77" customWidth="1"/>
    <col min="5125" max="5125" width="15.28515625" style="77" customWidth="1"/>
    <col min="5126" max="5126" width="15.7109375" style="77" customWidth="1"/>
    <col min="5127" max="5364" width="9" style="77" customWidth="1"/>
    <col min="5365" max="5365" width="5" style="77" customWidth="1"/>
    <col min="5366" max="5366" width="33.42578125" style="77"/>
    <col min="5367" max="5367" width="4.42578125" style="77" customWidth="1"/>
    <col min="5368" max="5368" width="29.42578125" style="77" customWidth="1"/>
    <col min="5369" max="5369" width="43.28515625" style="77" customWidth="1"/>
    <col min="5370" max="5370" width="0" style="77" hidden="1" customWidth="1"/>
    <col min="5371" max="5371" width="11.7109375" style="77" customWidth="1"/>
    <col min="5372" max="5373" width="8.42578125" style="77" customWidth="1"/>
    <col min="5374" max="5374" width="9.28515625" style="77" customWidth="1"/>
    <col min="5375" max="5375" width="10.7109375" style="77" bestFit="1" customWidth="1"/>
    <col min="5376" max="5377" width="11.7109375" style="77" customWidth="1"/>
    <col min="5378" max="5378" width="12.42578125" style="77" bestFit="1" customWidth="1"/>
    <col min="5379" max="5379" width="12.7109375" style="77" customWidth="1"/>
    <col min="5380" max="5380" width="10.42578125" style="77" customWidth="1"/>
    <col min="5381" max="5381" width="15.28515625" style="77" customWidth="1"/>
    <col min="5382" max="5382" width="15.7109375" style="77" customWidth="1"/>
    <col min="5383" max="5620" width="9" style="77" customWidth="1"/>
    <col min="5621" max="5621" width="5" style="77" customWidth="1"/>
    <col min="5622" max="5622" width="33.42578125" style="77"/>
    <col min="5623" max="5623" width="4.42578125" style="77" customWidth="1"/>
    <col min="5624" max="5624" width="29.42578125" style="77" customWidth="1"/>
    <col min="5625" max="5625" width="43.28515625" style="77" customWidth="1"/>
    <col min="5626" max="5626" width="0" style="77" hidden="1" customWidth="1"/>
    <col min="5627" max="5627" width="11.7109375" style="77" customWidth="1"/>
    <col min="5628" max="5629" width="8.42578125" style="77" customWidth="1"/>
    <col min="5630" max="5630" width="9.28515625" style="77" customWidth="1"/>
    <col min="5631" max="5631" width="10.7109375" style="77" bestFit="1" customWidth="1"/>
    <col min="5632" max="5633" width="11.7109375" style="77" customWidth="1"/>
    <col min="5634" max="5634" width="12.42578125" style="77" bestFit="1" customWidth="1"/>
    <col min="5635" max="5635" width="12.7109375" style="77" customWidth="1"/>
    <col min="5636" max="5636" width="10.42578125" style="77" customWidth="1"/>
    <col min="5637" max="5637" width="15.28515625" style="77" customWidth="1"/>
    <col min="5638" max="5638" width="15.7109375" style="77" customWidth="1"/>
    <col min="5639" max="5876" width="9" style="77" customWidth="1"/>
    <col min="5877" max="5877" width="5" style="77" customWidth="1"/>
    <col min="5878" max="5878" width="33.42578125" style="77"/>
    <col min="5879" max="5879" width="4.42578125" style="77" customWidth="1"/>
    <col min="5880" max="5880" width="29.42578125" style="77" customWidth="1"/>
    <col min="5881" max="5881" width="43.28515625" style="77" customWidth="1"/>
    <col min="5882" max="5882" width="0" style="77" hidden="1" customWidth="1"/>
    <col min="5883" max="5883" width="11.7109375" style="77" customWidth="1"/>
    <col min="5884" max="5885" width="8.42578125" style="77" customWidth="1"/>
    <col min="5886" max="5886" width="9.28515625" style="77" customWidth="1"/>
    <col min="5887" max="5887" width="10.7109375" style="77" bestFit="1" customWidth="1"/>
    <col min="5888" max="5889" width="11.7109375" style="77" customWidth="1"/>
    <col min="5890" max="5890" width="12.42578125" style="77" bestFit="1" customWidth="1"/>
    <col min="5891" max="5891" width="12.7109375" style="77" customWidth="1"/>
    <col min="5892" max="5892" width="10.42578125" style="77" customWidth="1"/>
    <col min="5893" max="5893" width="15.28515625" style="77" customWidth="1"/>
    <col min="5894" max="5894" width="15.7109375" style="77" customWidth="1"/>
    <col min="5895" max="6132" width="9" style="77" customWidth="1"/>
    <col min="6133" max="6133" width="5" style="77" customWidth="1"/>
    <col min="6134" max="6134" width="33.42578125" style="77"/>
    <col min="6135" max="6135" width="4.42578125" style="77" customWidth="1"/>
    <col min="6136" max="6136" width="29.42578125" style="77" customWidth="1"/>
    <col min="6137" max="6137" width="43.28515625" style="77" customWidth="1"/>
    <col min="6138" max="6138" width="0" style="77" hidden="1" customWidth="1"/>
    <col min="6139" max="6139" width="11.7109375" style="77" customWidth="1"/>
    <col min="6140" max="6141" width="8.42578125" style="77" customWidth="1"/>
    <col min="6142" max="6142" width="9.28515625" style="77" customWidth="1"/>
    <col min="6143" max="6143" width="10.7109375" style="77" bestFit="1" customWidth="1"/>
    <col min="6144" max="6145" width="11.7109375" style="77" customWidth="1"/>
    <col min="6146" max="6146" width="12.42578125" style="77" bestFit="1" customWidth="1"/>
    <col min="6147" max="6147" width="12.7109375" style="77" customWidth="1"/>
    <col min="6148" max="6148" width="10.42578125" style="77" customWidth="1"/>
    <col min="6149" max="6149" width="15.28515625" style="77" customWidth="1"/>
    <col min="6150" max="6150" width="15.7109375" style="77" customWidth="1"/>
    <col min="6151" max="6388" width="9" style="77" customWidth="1"/>
    <col min="6389" max="6389" width="5" style="77" customWidth="1"/>
    <col min="6390" max="6390" width="33.42578125" style="77"/>
    <col min="6391" max="6391" width="4.42578125" style="77" customWidth="1"/>
    <col min="6392" max="6392" width="29.42578125" style="77" customWidth="1"/>
    <col min="6393" max="6393" width="43.28515625" style="77" customWidth="1"/>
    <col min="6394" max="6394" width="0" style="77" hidden="1" customWidth="1"/>
    <col min="6395" max="6395" width="11.7109375" style="77" customWidth="1"/>
    <col min="6396" max="6397" width="8.42578125" style="77" customWidth="1"/>
    <col min="6398" max="6398" width="9.28515625" style="77" customWidth="1"/>
    <col min="6399" max="6399" width="10.7109375" style="77" bestFit="1" customWidth="1"/>
    <col min="6400" max="6401" width="11.7109375" style="77" customWidth="1"/>
    <col min="6402" max="6402" width="12.42578125" style="77" bestFit="1" customWidth="1"/>
    <col min="6403" max="6403" width="12.7109375" style="77" customWidth="1"/>
    <col min="6404" max="6404" width="10.42578125" style="77" customWidth="1"/>
    <col min="6405" max="6405" width="15.28515625" style="77" customWidth="1"/>
    <col min="6406" max="6406" width="15.7109375" style="77" customWidth="1"/>
    <col min="6407" max="6644" width="9" style="77" customWidth="1"/>
    <col min="6645" max="6645" width="5" style="77" customWidth="1"/>
    <col min="6646" max="6646" width="33.42578125" style="77"/>
    <col min="6647" max="6647" width="4.42578125" style="77" customWidth="1"/>
    <col min="6648" max="6648" width="29.42578125" style="77" customWidth="1"/>
    <col min="6649" max="6649" width="43.28515625" style="77" customWidth="1"/>
    <col min="6650" max="6650" width="0" style="77" hidden="1" customWidth="1"/>
    <col min="6651" max="6651" width="11.7109375" style="77" customWidth="1"/>
    <col min="6652" max="6653" width="8.42578125" style="77" customWidth="1"/>
    <col min="6654" max="6654" width="9.28515625" style="77" customWidth="1"/>
    <col min="6655" max="6655" width="10.7109375" style="77" bestFit="1" customWidth="1"/>
    <col min="6656" max="6657" width="11.7109375" style="77" customWidth="1"/>
    <col min="6658" max="6658" width="12.42578125" style="77" bestFit="1" customWidth="1"/>
    <col min="6659" max="6659" width="12.7109375" style="77" customWidth="1"/>
    <col min="6660" max="6660" width="10.42578125" style="77" customWidth="1"/>
    <col min="6661" max="6661" width="15.28515625" style="77" customWidth="1"/>
    <col min="6662" max="6662" width="15.7109375" style="77" customWidth="1"/>
    <col min="6663" max="6900" width="9" style="77" customWidth="1"/>
    <col min="6901" max="6901" width="5" style="77" customWidth="1"/>
    <col min="6902" max="6902" width="33.42578125" style="77"/>
    <col min="6903" max="6903" width="4.42578125" style="77" customWidth="1"/>
    <col min="6904" max="6904" width="29.42578125" style="77" customWidth="1"/>
    <col min="6905" max="6905" width="43.28515625" style="77" customWidth="1"/>
    <col min="6906" max="6906" width="0" style="77" hidden="1" customWidth="1"/>
    <col min="6907" max="6907" width="11.7109375" style="77" customWidth="1"/>
    <col min="6908" max="6909" width="8.42578125" style="77" customWidth="1"/>
    <col min="6910" max="6910" width="9.28515625" style="77" customWidth="1"/>
    <col min="6911" max="6911" width="10.7109375" style="77" bestFit="1" customWidth="1"/>
    <col min="6912" max="6913" width="11.7109375" style="77" customWidth="1"/>
    <col min="6914" max="6914" width="12.42578125" style="77" bestFit="1" customWidth="1"/>
    <col min="6915" max="6915" width="12.7109375" style="77" customWidth="1"/>
    <col min="6916" max="6916" width="10.42578125" style="77" customWidth="1"/>
    <col min="6917" max="6917" width="15.28515625" style="77" customWidth="1"/>
    <col min="6918" max="6918" width="15.7109375" style="77" customWidth="1"/>
    <col min="6919" max="7156" width="9" style="77" customWidth="1"/>
    <col min="7157" max="7157" width="5" style="77" customWidth="1"/>
    <col min="7158" max="7158" width="33.42578125" style="77"/>
    <col min="7159" max="7159" width="4.42578125" style="77" customWidth="1"/>
    <col min="7160" max="7160" width="29.42578125" style="77" customWidth="1"/>
    <col min="7161" max="7161" width="43.28515625" style="77" customWidth="1"/>
    <col min="7162" max="7162" width="0" style="77" hidden="1" customWidth="1"/>
    <col min="7163" max="7163" width="11.7109375" style="77" customWidth="1"/>
    <col min="7164" max="7165" width="8.42578125" style="77" customWidth="1"/>
    <col min="7166" max="7166" width="9.28515625" style="77" customWidth="1"/>
    <col min="7167" max="7167" width="10.7109375" style="77" bestFit="1" customWidth="1"/>
    <col min="7168" max="7169" width="11.7109375" style="77" customWidth="1"/>
    <col min="7170" max="7170" width="12.42578125" style="77" bestFit="1" customWidth="1"/>
    <col min="7171" max="7171" width="12.7109375" style="77" customWidth="1"/>
    <col min="7172" max="7172" width="10.42578125" style="77" customWidth="1"/>
    <col min="7173" max="7173" width="15.28515625" style="77" customWidth="1"/>
    <col min="7174" max="7174" width="15.7109375" style="77" customWidth="1"/>
    <col min="7175" max="7412" width="9" style="77" customWidth="1"/>
    <col min="7413" max="7413" width="5" style="77" customWidth="1"/>
    <col min="7414" max="7414" width="33.42578125" style="77"/>
    <col min="7415" max="7415" width="4.42578125" style="77" customWidth="1"/>
    <col min="7416" max="7416" width="29.42578125" style="77" customWidth="1"/>
    <col min="7417" max="7417" width="43.28515625" style="77" customWidth="1"/>
    <col min="7418" max="7418" width="0" style="77" hidden="1" customWidth="1"/>
    <col min="7419" max="7419" width="11.7109375" style="77" customWidth="1"/>
    <col min="7420" max="7421" width="8.42578125" style="77" customWidth="1"/>
    <col min="7422" max="7422" width="9.28515625" style="77" customWidth="1"/>
    <col min="7423" max="7423" width="10.7109375" style="77" bestFit="1" customWidth="1"/>
    <col min="7424" max="7425" width="11.7109375" style="77" customWidth="1"/>
    <col min="7426" max="7426" width="12.42578125" style="77" bestFit="1" customWidth="1"/>
    <col min="7427" max="7427" width="12.7109375" style="77" customWidth="1"/>
    <col min="7428" max="7428" width="10.42578125" style="77" customWidth="1"/>
    <col min="7429" max="7429" width="15.28515625" style="77" customWidth="1"/>
    <col min="7430" max="7430" width="15.7109375" style="77" customWidth="1"/>
    <col min="7431" max="7668" width="9" style="77" customWidth="1"/>
    <col min="7669" max="7669" width="5" style="77" customWidth="1"/>
    <col min="7670" max="7670" width="33.42578125" style="77"/>
    <col min="7671" max="7671" width="4.42578125" style="77" customWidth="1"/>
    <col min="7672" max="7672" width="29.42578125" style="77" customWidth="1"/>
    <col min="7673" max="7673" width="43.28515625" style="77" customWidth="1"/>
    <col min="7674" max="7674" width="0" style="77" hidden="1" customWidth="1"/>
    <col min="7675" max="7675" width="11.7109375" style="77" customWidth="1"/>
    <col min="7676" max="7677" width="8.42578125" style="77" customWidth="1"/>
    <col min="7678" max="7678" width="9.28515625" style="77" customWidth="1"/>
    <col min="7679" max="7679" width="10.7109375" style="77" bestFit="1" customWidth="1"/>
    <col min="7680" max="7681" width="11.7109375" style="77" customWidth="1"/>
    <col min="7682" max="7682" width="12.42578125" style="77" bestFit="1" customWidth="1"/>
    <col min="7683" max="7683" width="12.7109375" style="77" customWidth="1"/>
    <col min="7684" max="7684" width="10.42578125" style="77" customWidth="1"/>
    <col min="7685" max="7685" width="15.28515625" style="77" customWidth="1"/>
    <col min="7686" max="7686" width="15.7109375" style="77" customWidth="1"/>
    <col min="7687" max="7924" width="9" style="77" customWidth="1"/>
    <col min="7925" max="7925" width="5" style="77" customWidth="1"/>
    <col min="7926" max="7926" width="33.42578125" style="77"/>
    <col min="7927" max="7927" width="4.42578125" style="77" customWidth="1"/>
    <col min="7928" max="7928" width="29.42578125" style="77" customWidth="1"/>
    <col min="7929" max="7929" width="43.28515625" style="77" customWidth="1"/>
    <col min="7930" max="7930" width="0" style="77" hidden="1" customWidth="1"/>
    <col min="7931" max="7931" width="11.7109375" style="77" customWidth="1"/>
    <col min="7932" max="7933" width="8.42578125" style="77" customWidth="1"/>
    <col min="7934" max="7934" width="9.28515625" style="77" customWidth="1"/>
    <col min="7935" max="7935" width="10.7109375" style="77" bestFit="1" customWidth="1"/>
    <col min="7936" max="7937" width="11.7109375" style="77" customWidth="1"/>
    <col min="7938" max="7938" width="12.42578125" style="77" bestFit="1" customWidth="1"/>
    <col min="7939" max="7939" width="12.7109375" style="77" customWidth="1"/>
    <col min="7940" max="7940" width="10.42578125" style="77" customWidth="1"/>
    <col min="7941" max="7941" width="15.28515625" style="77" customWidth="1"/>
    <col min="7942" max="7942" width="15.7109375" style="77" customWidth="1"/>
    <col min="7943" max="8180" width="9" style="77" customWidth="1"/>
    <col min="8181" max="8181" width="5" style="77" customWidth="1"/>
    <col min="8182" max="8182" width="33.42578125" style="77"/>
    <col min="8183" max="8183" width="4.42578125" style="77" customWidth="1"/>
    <col min="8184" max="8184" width="29.42578125" style="77" customWidth="1"/>
    <col min="8185" max="8185" width="43.28515625" style="77" customWidth="1"/>
    <col min="8186" max="8186" width="0" style="77" hidden="1" customWidth="1"/>
    <col min="8187" max="8187" width="11.7109375" style="77" customWidth="1"/>
    <col min="8188" max="8189" width="8.42578125" style="77" customWidth="1"/>
    <col min="8190" max="8190" width="9.28515625" style="77" customWidth="1"/>
    <col min="8191" max="8191" width="10.7109375" style="77" bestFit="1" customWidth="1"/>
    <col min="8192" max="8193" width="11.7109375" style="77" customWidth="1"/>
    <col min="8194" max="8194" width="12.42578125" style="77" bestFit="1" customWidth="1"/>
    <col min="8195" max="8195" width="12.7109375" style="77" customWidth="1"/>
    <col min="8196" max="8196" width="10.42578125" style="77" customWidth="1"/>
    <col min="8197" max="8197" width="15.28515625" style="77" customWidth="1"/>
    <col min="8198" max="8198" width="15.7109375" style="77" customWidth="1"/>
    <col min="8199" max="8436" width="9" style="77" customWidth="1"/>
    <col min="8437" max="8437" width="5" style="77" customWidth="1"/>
    <col min="8438" max="8438" width="33.42578125" style="77"/>
    <col min="8439" max="8439" width="4.42578125" style="77" customWidth="1"/>
    <col min="8440" max="8440" width="29.42578125" style="77" customWidth="1"/>
    <col min="8441" max="8441" width="43.28515625" style="77" customWidth="1"/>
    <col min="8442" max="8442" width="0" style="77" hidden="1" customWidth="1"/>
    <col min="8443" max="8443" width="11.7109375" style="77" customWidth="1"/>
    <col min="8444" max="8445" width="8.42578125" style="77" customWidth="1"/>
    <col min="8446" max="8446" width="9.28515625" style="77" customWidth="1"/>
    <col min="8447" max="8447" width="10.7109375" style="77" bestFit="1" customWidth="1"/>
    <col min="8448" max="8449" width="11.7109375" style="77" customWidth="1"/>
    <col min="8450" max="8450" width="12.42578125" style="77" bestFit="1" customWidth="1"/>
    <col min="8451" max="8451" width="12.7109375" style="77" customWidth="1"/>
    <col min="8452" max="8452" width="10.42578125" style="77" customWidth="1"/>
    <col min="8453" max="8453" width="15.28515625" style="77" customWidth="1"/>
    <col min="8454" max="8454" width="15.7109375" style="77" customWidth="1"/>
    <col min="8455" max="8692" width="9" style="77" customWidth="1"/>
    <col min="8693" max="8693" width="5" style="77" customWidth="1"/>
    <col min="8694" max="8694" width="33.42578125" style="77"/>
    <col min="8695" max="8695" width="4.42578125" style="77" customWidth="1"/>
    <col min="8696" max="8696" width="29.42578125" style="77" customWidth="1"/>
    <col min="8697" max="8697" width="43.28515625" style="77" customWidth="1"/>
    <col min="8698" max="8698" width="0" style="77" hidden="1" customWidth="1"/>
    <col min="8699" max="8699" width="11.7109375" style="77" customWidth="1"/>
    <col min="8700" max="8701" width="8.42578125" style="77" customWidth="1"/>
    <col min="8702" max="8702" width="9.28515625" style="77" customWidth="1"/>
    <col min="8703" max="8703" width="10.7109375" style="77" bestFit="1" customWidth="1"/>
    <col min="8704" max="8705" width="11.7109375" style="77" customWidth="1"/>
    <col min="8706" max="8706" width="12.42578125" style="77" bestFit="1" customWidth="1"/>
    <col min="8707" max="8707" width="12.7109375" style="77" customWidth="1"/>
    <col min="8708" max="8708" width="10.42578125" style="77" customWidth="1"/>
    <col min="8709" max="8709" width="15.28515625" style="77" customWidth="1"/>
    <col min="8710" max="8710" width="15.7109375" style="77" customWidth="1"/>
    <col min="8711" max="8948" width="9" style="77" customWidth="1"/>
    <col min="8949" max="8949" width="5" style="77" customWidth="1"/>
    <col min="8950" max="8950" width="33.42578125" style="77"/>
    <col min="8951" max="8951" width="4.42578125" style="77" customWidth="1"/>
    <col min="8952" max="8952" width="29.42578125" style="77" customWidth="1"/>
    <col min="8953" max="8953" width="43.28515625" style="77" customWidth="1"/>
    <col min="8954" max="8954" width="0" style="77" hidden="1" customWidth="1"/>
    <col min="8955" max="8955" width="11.7109375" style="77" customWidth="1"/>
    <col min="8956" max="8957" width="8.42578125" style="77" customWidth="1"/>
    <col min="8958" max="8958" width="9.28515625" style="77" customWidth="1"/>
    <col min="8959" max="8959" width="10.7109375" style="77" bestFit="1" customWidth="1"/>
    <col min="8960" max="8961" width="11.7109375" style="77" customWidth="1"/>
    <col min="8962" max="8962" width="12.42578125" style="77" bestFit="1" customWidth="1"/>
    <col min="8963" max="8963" width="12.7109375" style="77" customWidth="1"/>
    <col min="8964" max="8964" width="10.42578125" style="77" customWidth="1"/>
    <col min="8965" max="8965" width="15.28515625" style="77" customWidth="1"/>
    <col min="8966" max="8966" width="15.7109375" style="77" customWidth="1"/>
    <col min="8967" max="9204" width="9" style="77" customWidth="1"/>
    <col min="9205" max="9205" width="5" style="77" customWidth="1"/>
    <col min="9206" max="9206" width="33.42578125" style="77"/>
    <col min="9207" max="9207" width="4.42578125" style="77" customWidth="1"/>
    <col min="9208" max="9208" width="29.42578125" style="77" customWidth="1"/>
    <col min="9209" max="9209" width="43.28515625" style="77" customWidth="1"/>
    <col min="9210" max="9210" width="0" style="77" hidden="1" customWidth="1"/>
    <col min="9211" max="9211" width="11.7109375" style="77" customWidth="1"/>
    <col min="9212" max="9213" width="8.42578125" style="77" customWidth="1"/>
    <col min="9214" max="9214" width="9.28515625" style="77" customWidth="1"/>
    <col min="9215" max="9215" width="10.7109375" style="77" bestFit="1" customWidth="1"/>
    <col min="9216" max="9217" width="11.7109375" style="77" customWidth="1"/>
    <col min="9218" max="9218" width="12.42578125" style="77" bestFit="1" customWidth="1"/>
    <col min="9219" max="9219" width="12.7109375" style="77" customWidth="1"/>
    <col min="9220" max="9220" width="10.42578125" style="77" customWidth="1"/>
    <col min="9221" max="9221" width="15.28515625" style="77" customWidth="1"/>
    <col min="9222" max="9222" width="15.7109375" style="77" customWidth="1"/>
    <col min="9223" max="9460" width="9" style="77" customWidth="1"/>
    <col min="9461" max="9461" width="5" style="77" customWidth="1"/>
    <col min="9462" max="9462" width="33.42578125" style="77"/>
    <col min="9463" max="9463" width="4.42578125" style="77" customWidth="1"/>
    <col min="9464" max="9464" width="29.42578125" style="77" customWidth="1"/>
    <col min="9465" max="9465" width="43.28515625" style="77" customWidth="1"/>
    <col min="9466" max="9466" width="0" style="77" hidden="1" customWidth="1"/>
    <col min="9467" max="9467" width="11.7109375" style="77" customWidth="1"/>
    <col min="9468" max="9469" width="8.42578125" style="77" customWidth="1"/>
    <col min="9470" max="9470" width="9.28515625" style="77" customWidth="1"/>
    <col min="9471" max="9471" width="10.7109375" style="77" bestFit="1" customWidth="1"/>
    <col min="9472" max="9473" width="11.7109375" style="77" customWidth="1"/>
    <col min="9474" max="9474" width="12.42578125" style="77" bestFit="1" customWidth="1"/>
    <col min="9475" max="9475" width="12.7109375" style="77" customWidth="1"/>
    <col min="9476" max="9476" width="10.42578125" style="77" customWidth="1"/>
    <col min="9477" max="9477" width="15.28515625" style="77" customWidth="1"/>
    <col min="9478" max="9478" width="15.7109375" style="77" customWidth="1"/>
    <col min="9479" max="9716" width="9" style="77" customWidth="1"/>
    <col min="9717" max="9717" width="5" style="77" customWidth="1"/>
    <col min="9718" max="9718" width="33.42578125" style="77"/>
    <col min="9719" max="9719" width="4.42578125" style="77" customWidth="1"/>
    <col min="9720" max="9720" width="29.42578125" style="77" customWidth="1"/>
    <col min="9721" max="9721" width="43.28515625" style="77" customWidth="1"/>
    <col min="9722" max="9722" width="0" style="77" hidden="1" customWidth="1"/>
    <col min="9723" max="9723" width="11.7109375" style="77" customWidth="1"/>
    <col min="9724" max="9725" width="8.42578125" style="77" customWidth="1"/>
    <col min="9726" max="9726" width="9.28515625" style="77" customWidth="1"/>
    <col min="9727" max="9727" width="10.7109375" style="77" bestFit="1" customWidth="1"/>
    <col min="9728" max="9729" width="11.7109375" style="77" customWidth="1"/>
    <col min="9730" max="9730" width="12.42578125" style="77" bestFit="1" customWidth="1"/>
    <col min="9731" max="9731" width="12.7109375" style="77" customWidth="1"/>
    <col min="9732" max="9732" width="10.42578125" style="77" customWidth="1"/>
    <col min="9733" max="9733" width="15.28515625" style="77" customWidth="1"/>
    <col min="9734" max="9734" width="15.7109375" style="77" customWidth="1"/>
    <col min="9735" max="9972" width="9" style="77" customWidth="1"/>
    <col min="9973" max="9973" width="5" style="77" customWidth="1"/>
    <col min="9974" max="9974" width="33.42578125" style="77"/>
    <col min="9975" max="9975" width="4.42578125" style="77" customWidth="1"/>
    <col min="9976" max="9976" width="29.42578125" style="77" customWidth="1"/>
    <col min="9977" max="9977" width="43.28515625" style="77" customWidth="1"/>
    <col min="9978" max="9978" width="0" style="77" hidden="1" customWidth="1"/>
    <col min="9979" max="9979" width="11.7109375" style="77" customWidth="1"/>
    <col min="9980" max="9981" width="8.42578125" style="77" customWidth="1"/>
    <col min="9982" max="9982" width="9.28515625" style="77" customWidth="1"/>
    <col min="9983" max="9983" width="10.7109375" style="77" bestFit="1" customWidth="1"/>
    <col min="9984" max="9985" width="11.7109375" style="77" customWidth="1"/>
    <col min="9986" max="9986" width="12.42578125" style="77" bestFit="1" customWidth="1"/>
    <col min="9987" max="9987" width="12.7109375" style="77" customWidth="1"/>
    <col min="9988" max="9988" width="10.42578125" style="77" customWidth="1"/>
    <col min="9989" max="9989" width="15.28515625" style="77" customWidth="1"/>
    <col min="9990" max="9990" width="15.7109375" style="77" customWidth="1"/>
    <col min="9991" max="10228" width="9" style="77" customWidth="1"/>
    <col min="10229" max="10229" width="5" style="77" customWidth="1"/>
    <col min="10230" max="10230" width="33.42578125" style="77"/>
    <col min="10231" max="10231" width="4.42578125" style="77" customWidth="1"/>
    <col min="10232" max="10232" width="29.42578125" style="77" customWidth="1"/>
    <col min="10233" max="10233" width="43.28515625" style="77" customWidth="1"/>
    <col min="10234" max="10234" width="0" style="77" hidden="1" customWidth="1"/>
    <col min="10235" max="10235" width="11.7109375" style="77" customWidth="1"/>
    <col min="10236" max="10237" width="8.42578125" style="77" customWidth="1"/>
    <col min="10238" max="10238" width="9.28515625" style="77" customWidth="1"/>
    <col min="10239" max="10239" width="10.7109375" style="77" bestFit="1" customWidth="1"/>
    <col min="10240" max="10241" width="11.7109375" style="77" customWidth="1"/>
    <col min="10242" max="10242" width="12.42578125" style="77" bestFit="1" customWidth="1"/>
    <col min="10243" max="10243" width="12.7109375" style="77" customWidth="1"/>
    <col min="10244" max="10244" width="10.42578125" style="77" customWidth="1"/>
    <col min="10245" max="10245" width="15.28515625" style="77" customWidth="1"/>
    <col min="10246" max="10246" width="15.7109375" style="77" customWidth="1"/>
    <col min="10247" max="10484" width="9" style="77" customWidth="1"/>
    <col min="10485" max="10485" width="5" style="77" customWidth="1"/>
    <col min="10486" max="10486" width="33.42578125" style="77"/>
    <col min="10487" max="10487" width="4.42578125" style="77" customWidth="1"/>
    <col min="10488" max="10488" width="29.42578125" style="77" customWidth="1"/>
    <col min="10489" max="10489" width="43.28515625" style="77" customWidth="1"/>
    <col min="10490" max="10490" width="0" style="77" hidden="1" customWidth="1"/>
    <col min="10491" max="10491" width="11.7109375" style="77" customWidth="1"/>
    <col min="10492" max="10493" width="8.42578125" style="77" customWidth="1"/>
    <col min="10494" max="10494" width="9.28515625" style="77" customWidth="1"/>
    <col min="10495" max="10495" width="10.7109375" style="77" bestFit="1" customWidth="1"/>
    <col min="10496" max="10497" width="11.7109375" style="77" customWidth="1"/>
    <col min="10498" max="10498" width="12.42578125" style="77" bestFit="1" customWidth="1"/>
    <col min="10499" max="10499" width="12.7109375" style="77" customWidth="1"/>
    <col min="10500" max="10500" width="10.42578125" style="77" customWidth="1"/>
    <col min="10501" max="10501" width="15.28515625" style="77" customWidth="1"/>
    <col min="10502" max="10502" width="15.7109375" style="77" customWidth="1"/>
    <col min="10503" max="10740" width="9" style="77" customWidth="1"/>
    <col min="10741" max="10741" width="5" style="77" customWidth="1"/>
    <col min="10742" max="10742" width="33.42578125" style="77"/>
    <col min="10743" max="10743" width="4.42578125" style="77" customWidth="1"/>
    <col min="10744" max="10744" width="29.42578125" style="77" customWidth="1"/>
    <col min="10745" max="10745" width="43.28515625" style="77" customWidth="1"/>
    <col min="10746" max="10746" width="0" style="77" hidden="1" customWidth="1"/>
    <col min="10747" max="10747" width="11.7109375" style="77" customWidth="1"/>
    <col min="10748" max="10749" width="8.42578125" style="77" customWidth="1"/>
    <col min="10750" max="10750" width="9.28515625" style="77" customWidth="1"/>
    <col min="10751" max="10751" width="10.7109375" style="77" bestFit="1" customWidth="1"/>
    <col min="10752" max="10753" width="11.7109375" style="77" customWidth="1"/>
    <col min="10754" max="10754" width="12.42578125" style="77" bestFit="1" customWidth="1"/>
    <col min="10755" max="10755" width="12.7109375" style="77" customWidth="1"/>
    <col min="10756" max="10756" width="10.42578125" style="77" customWidth="1"/>
    <col min="10757" max="10757" width="15.28515625" style="77" customWidth="1"/>
    <col min="10758" max="10758" width="15.7109375" style="77" customWidth="1"/>
    <col min="10759" max="10996" width="9" style="77" customWidth="1"/>
    <col min="10997" max="10997" width="5" style="77" customWidth="1"/>
    <col min="10998" max="10998" width="33.42578125" style="77"/>
    <col min="10999" max="10999" width="4.42578125" style="77" customWidth="1"/>
    <col min="11000" max="11000" width="29.42578125" style="77" customWidth="1"/>
    <col min="11001" max="11001" width="43.28515625" style="77" customWidth="1"/>
    <col min="11002" max="11002" width="0" style="77" hidden="1" customWidth="1"/>
    <col min="11003" max="11003" width="11.7109375" style="77" customWidth="1"/>
    <col min="11004" max="11005" width="8.42578125" style="77" customWidth="1"/>
    <col min="11006" max="11006" width="9.28515625" style="77" customWidth="1"/>
    <col min="11007" max="11007" width="10.7109375" style="77" bestFit="1" customWidth="1"/>
    <col min="11008" max="11009" width="11.7109375" style="77" customWidth="1"/>
    <col min="11010" max="11010" width="12.42578125" style="77" bestFit="1" customWidth="1"/>
    <col min="11011" max="11011" width="12.7109375" style="77" customWidth="1"/>
    <col min="11012" max="11012" width="10.42578125" style="77" customWidth="1"/>
    <col min="11013" max="11013" width="15.28515625" style="77" customWidth="1"/>
    <col min="11014" max="11014" width="15.7109375" style="77" customWidth="1"/>
    <col min="11015" max="11252" width="9" style="77" customWidth="1"/>
    <col min="11253" max="11253" width="5" style="77" customWidth="1"/>
    <col min="11254" max="11254" width="33.42578125" style="77"/>
    <col min="11255" max="11255" width="4.42578125" style="77" customWidth="1"/>
    <col min="11256" max="11256" width="29.42578125" style="77" customWidth="1"/>
    <col min="11257" max="11257" width="43.28515625" style="77" customWidth="1"/>
    <col min="11258" max="11258" width="0" style="77" hidden="1" customWidth="1"/>
    <col min="11259" max="11259" width="11.7109375" style="77" customWidth="1"/>
    <col min="11260" max="11261" width="8.42578125" style="77" customWidth="1"/>
    <col min="11262" max="11262" width="9.28515625" style="77" customWidth="1"/>
    <col min="11263" max="11263" width="10.7109375" style="77" bestFit="1" customWidth="1"/>
    <col min="11264" max="11265" width="11.7109375" style="77" customWidth="1"/>
    <col min="11266" max="11266" width="12.42578125" style="77" bestFit="1" customWidth="1"/>
    <col min="11267" max="11267" width="12.7109375" style="77" customWidth="1"/>
    <col min="11268" max="11268" width="10.42578125" style="77" customWidth="1"/>
    <col min="11269" max="11269" width="15.28515625" style="77" customWidth="1"/>
    <col min="11270" max="11270" width="15.7109375" style="77" customWidth="1"/>
    <col min="11271" max="11508" width="9" style="77" customWidth="1"/>
    <col min="11509" max="11509" width="5" style="77" customWidth="1"/>
    <col min="11510" max="11510" width="33.42578125" style="77"/>
    <col min="11511" max="11511" width="4.42578125" style="77" customWidth="1"/>
    <col min="11512" max="11512" width="29.42578125" style="77" customWidth="1"/>
    <col min="11513" max="11513" width="43.28515625" style="77" customWidth="1"/>
    <col min="11514" max="11514" width="0" style="77" hidden="1" customWidth="1"/>
    <col min="11515" max="11515" width="11.7109375" style="77" customWidth="1"/>
    <col min="11516" max="11517" width="8.42578125" style="77" customWidth="1"/>
    <col min="11518" max="11518" width="9.28515625" style="77" customWidth="1"/>
    <col min="11519" max="11519" width="10.7109375" style="77" bestFit="1" customWidth="1"/>
    <col min="11520" max="11521" width="11.7109375" style="77" customWidth="1"/>
    <col min="11522" max="11522" width="12.42578125" style="77" bestFit="1" customWidth="1"/>
    <col min="11523" max="11523" width="12.7109375" style="77" customWidth="1"/>
    <col min="11524" max="11524" width="10.42578125" style="77" customWidth="1"/>
    <col min="11525" max="11525" width="15.28515625" style="77" customWidth="1"/>
    <col min="11526" max="11526" width="15.7109375" style="77" customWidth="1"/>
    <col min="11527" max="11764" width="9" style="77" customWidth="1"/>
    <col min="11765" max="11765" width="5" style="77" customWidth="1"/>
    <col min="11766" max="11766" width="33.42578125" style="77"/>
    <col min="11767" max="11767" width="4.42578125" style="77" customWidth="1"/>
    <col min="11768" max="11768" width="29.42578125" style="77" customWidth="1"/>
    <col min="11769" max="11769" width="43.28515625" style="77" customWidth="1"/>
    <col min="11770" max="11770" width="0" style="77" hidden="1" customWidth="1"/>
    <col min="11771" max="11771" width="11.7109375" style="77" customWidth="1"/>
    <col min="11772" max="11773" width="8.42578125" style="77" customWidth="1"/>
    <col min="11774" max="11774" width="9.28515625" style="77" customWidth="1"/>
    <col min="11775" max="11775" width="10.7109375" style="77" bestFit="1" customWidth="1"/>
    <col min="11776" max="11777" width="11.7109375" style="77" customWidth="1"/>
    <col min="11778" max="11778" width="12.42578125" style="77" bestFit="1" customWidth="1"/>
    <col min="11779" max="11779" width="12.7109375" style="77" customWidth="1"/>
    <col min="11780" max="11780" width="10.42578125" style="77" customWidth="1"/>
    <col min="11781" max="11781" width="15.28515625" style="77" customWidth="1"/>
    <col min="11782" max="11782" width="15.7109375" style="77" customWidth="1"/>
    <col min="11783" max="12020" width="9" style="77" customWidth="1"/>
    <col min="12021" max="12021" width="5" style="77" customWidth="1"/>
    <col min="12022" max="12022" width="33.42578125" style="77"/>
    <col min="12023" max="12023" width="4.42578125" style="77" customWidth="1"/>
    <col min="12024" max="12024" width="29.42578125" style="77" customWidth="1"/>
    <col min="12025" max="12025" width="43.28515625" style="77" customWidth="1"/>
    <col min="12026" max="12026" width="0" style="77" hidden="1" customWidth="1"/>
    <col min="12027" max="12027" width="11.7109375" style="77" customWidth="1"/>
    <col min="12028" max="12029" width="8.42578125" style="77" customWidth="1"/>
    <col min="12030" max="12030" width="9.28515625" style="77" customWidth="1"/>
    <col min="12031" max="12031" width="10.7109375" style="77" bestFit="1" customWidth="1"/>
    <col min="12032" max="12033" width="11.7109375" style="77" customWidth="1"/>
    <col min="12034" max="12034" width="12.42578125" style="77" bestFit="1" customWidth="1"/>
    <col min="12035" max="12035" width="12.7109375" style="77" customWidth="1"/>
    <col min="12036" max="12036" width="10.42578125" style="77" customWidth="1"/>
    <col min="12037" max="12037" width="15.28515625" style="77" customWidth="1"/>
    <col min="12038" max="12038" width="15.7109375" style="77" customWidth="1"/>
    <col min="12039" max="12276" width="9" style="77" customWidth="1"/>
    <col min="12277" max="12277" width="5" style="77" customWidth="1"/>
    <col min="12278" max="12278" width="33.42578125" style="77"/>
    <col min="12279" max="12279" width="4.42578125" style="77" customWidth="1"/>
    <col min="12280" max="12280" width="29.42578125" style="77" customWidth="1"/>
    <col min="12281" max="12281" width="43.28515625" style="77" customWidth="1"/>
    <col min="12282" max="12282" width="0" style="77" hidden="1" customWidth="1"/>
    <col min="12283" max="12283" width="11.7109375" style="77" customWidth="1"/>
    <col min="12284" max="12285" width="8.42578125" style="77" customWidth="1"/>
    <col min="12286" max="12286" width="9.28515625" style="77" customWidth="1"/>
    <col min="12287" max="12287" width="10.7109375" style="77" bestFit="1" customWidth="1"/>
    <col min="12288" max="12289" width="11.7109375" style="77" customWidth="1"/>
    <col min="12290" max="12290" width="12.42578125" style="77" bestFit="1" customWidth="1"/>
    <col min="12291" max="12291" width="12.7109375" style="77" customWidth="1"/>
    <col min="12292" max="12292" width="10.42578125" style="77" customWidth="1"/>
    <col min="12293" max="12293" width="15.28515625" style="77" customWidth="1"/>
    <col min="12294" max="12294" width="15.7109375" style="77" customWidth="1"/>
    <col min="12295" max="12532" width="9" style="77" customWidth="1"/>
    <col min="12533" max="12533" width="5" style="77" customWidth="1"/>
    <col min="12534" max="12534" width="33.42578125" style="77"/>
    <col min="12535" max="12535" width="4.42578125" style="77" customWidth="1"/>
    <col min="12536" max="12536" width="29.42578125" style="77" customWidth="1"/>
    <col min="12537" max="12537" width="43.28515625" style="77" customWidth="1"/>
    <col min="12538" max="12538" width="0" style="77" hidden="1" customWidth="1"/>
    <col min="12539" max="12539" width="11.7109375" style="77" customWidth="1"/>
    <col min="12540" max="12541" width="8.42578125" style="77" customWidth="1"/>
    <col min="12542" max="12542" width="9.28515625" style="77" customWidth="1"/>
    <col min="12543" max="12543" width="10.7109375" style="77" bestFit="1" customWidth="1"/>
    <col min="12544" max="12545" width="11.7109375" style="77" customWidth="1"/>
    <col min="12546" max="12546" width="12.42578125" style="77" bestFit="1" customWidth="1"/>
    <col min="12547" max="12547" width="12.7109375" style="77" customWidth="1"/>
    <col min="12548" max="12548" width="10.42578125" style="77" customWidth="1"/>
    <col min="12549" max="12549" width="15.28515625" style="77" customWidth="1"/>
    <col min="12550" max="12550" width="15.7109375" style="77" customWidth="1"/>
    <col min="12551" max="12788" width="9" style="77" customWidth="1"/>
    <col min="12789" max="12789" width="5" style="77" customWidth="1"/>
    <col min="12790" max="12790" width="33.42578125" style="77"/>
    <col min="12791" max="12791" width="4.42578125" style="77" customWidth="1"/>
    <col min="12792" max="12792" width="29.42578125" style="77" customWidth="1"/>
    <col min="12793" max="12793" width="43.28515625" style="77" customWidth="1"/>
    <col min="12794" max="12794" width="0" style="77" hidden="1" customWidth="1"/>
    <col min="12795" max="12795" width="11.7109375" style="77" customWidth="1"/>
    <col min="12796" max="12797" width="8.42578125" style="77" customWidth="1"/>
    <col min="12798" max="12798" width="9.28515625" style="77" customWidth="1"/>
    <col min="12799" max="12799" width="10.7109375" style="77" bestFit="1" customWidth="1"/>
    <col min="12800" max="12801" width="11.7109375" style="77" customWidth="1"/>
    <col min="12802" max="12802" width="12.42578125" style="77" bestFit="1" customWidth="1"/>
    <col min="12803" max="12803" width="12.7109375" style="77" customWidth="1"/>
    <col min="12804" max="12804" width="10.42578125" style="77" customWidth="1"/>
    <col min="12805" max="12805" width="15.28515625" style="77" customWidth="1"/>
    <col min="12806" max="12806" width="15.7109375" style="77" customWidth="1"/>
    <col min="12807" max="13044" width="9" style="77" customWidth="1"/>
    <col min="13045" max="13045" width="5" style="77" customWidth="1"/>
    <col min="13046" max="13046" width="33.42578125" style="77"/>
    <col min="13047" max="13047" width="4.42578125" style="77" customWidth="1"/>
    <col min="13048" max="13048" width="29.42578125" style="77" customWidth="1"/>
    <col min="13049" max="13049" width="43.28515625" style="77" customWidth="1"/>
    <col min="13050" max="13050" width="0" style="77" hidden="1" customWidth="1"/>
    <col min="13051" max="13051" width="11.7109375" style="77" customWidth="1"/>
    <col min="13052" max="13053" width="8.42578125" style="77" customWidth="1"/>
    <col min="13054" max="13054" width="9.28515625" style="77" customWidth="1"/>
    <col min="13055" max="13055" width="10.7109375" style="77" bestFit="1" customWidth="1"/>
    <col min="13056" max="13057" width="11.7109375" style="77" customWidth="1"/>
    <col min="13058" max="13058" width="12.42578125" style="77" bestFit="1" customWidth="1"/>
    <col min="13059" max="13059" width="12.7109375" style="77" customWidth="1"/>
    <col min="13060" max="13060" width="10.42578125" style="77" customWidth="1"/>
    <col min="13061" max="13061" width="15.28515625" style="77" customWidth="1"/>
    <col min="13062" max="13062" width="15.7109375" style="77" customWidth="1"/>
    <col min="13063" max="13300" width="9" style="77" customWidth="1"/>
    <col min="13301" max="13301" width="5" style="77" customWidth="1"/>
    <col min="13302" max="13302" width="33.42578125" style="77"/>
    <col min="13303" max="13303" width="4.42578125" style="77" customWidth="1"/>
    <col min="13304" max="13304" width="29.42578125" style="77" customWidth="1"/>
    <col min="13305" max="13305" width="43.28515625" style="77" customWidth="1"/>
    <col min="13306" max="13306" width="0" style="77" hidden="1" customWidth="1"/>
    <col min="13307" max="13307" width="11.7109375" style="77" customWidth="1"/>
    <col min="13308" max="13309" width="8.42578125" style="77" customWidth="1"/>
    <col min="13310" max="13310" width="9.28515625" style="77" customWidth="1"/>
    <col min="13311" max="13311" width="10.7109375" style="77" bestFit="1" customWidth="1"/>
    <col min="13312" max="13313" width="11.7109375" style="77" customWidth="1"/>
    <col min="13314" max="13314" width="12.42578125" style="77" bestFit="1" customWidth="1"/>
    <col min="13315" max="13315" width="12.7109375" style="77" customWidth="1"/>
    <col min="13316" max="13316" width="10.42578125" style="77" customWidth="1"/>
    <col min="13317" max="13317" width="15.28515625" style="77" customWidth="1"/>
    <col min="13318" max="13318" width="15.7109375" style="77" customWidth="1"/>
    <col min="13319" max="13556" width="9" style="77" customWidth="1"/>
    <col min="13557" max="13557" width="5" style="77" customWidth="1"/>
    <col min="13558" max="13558" width="33.42578125" style="77"/>
    <col min="13559" max="13559" width="4.42578125" style="77" customWidth="1"/>
    <col min="13560" max="13560" width="29.42578125" style="77" customWidth="1"/>
    <col min="13561" max="13561" width="43.28515625" style="77" customWidth="1"/>
    <col min="13562" max="13562" width="0" style="77" hidden="1" customWidth="1"/>
    <col min="13563" max="13563" width="11.7109375" style="77" customWidth="1"/>
    <col min="13564" max="13565" width="8.42578125" style="77" customWidth="1"/>
    <col min="13566" max="13566" width="9.28515625" style="77" customWidth="1"/>
    <col min="13567" max="13567" width="10.7109375" style="77" bestFit="1" customWidth="1"/>
    <col min="13568" max="13569" width="11.7109375" style="77" customWidth="1"/>
    <col min="13570" max="13570" width="12.42578125" style="77" bestFit="1" customWidth="1"/>
    <col min="13571" max="13571" width="12.7109375" style="77" customWidth="1"/>
    <col min="13572" max="13572" width="10.42578125" style="77" customWidth="1"/>
    <col min="13573" max="13573" width="15.28515625" style="77" customWidth="1"/>
    <col min="13574" max="13574" width="15.7109375" style="77" customWidth="1"/>
    <col min="13575" max="13812" width="9" style="77" customWidth="1"/>
    <col min="13813" max="13813" width="5" style="77" customWidth="1"/>
    <col min="13814" max="13814" width="33.42578125" style="77"/>
    <col min="13815" max="13815" width="4.42578125" style="77" customWidth="1"/>
    <col min="13816" max="13816" width="29.42578125" style="77" customWidth="1"/>
    <col min="13817" max="13817" width="43.28515625" style="77" customWidth="1"/>
    <col min="13818" max="13818" width="0" style="77" hidden="1" customWidth="1"/>
    <col min="13819" max="13819" width="11.7109375" style="77" customWidth="1"/>
    <col min="13820" max="13821" width="8.42578125" style="77" customWidth="1"/>
    <col min="13822" max="13822" width="9.28515625" style="77" customWidth="1"/>
    <col min="13823" max="13823" width="10.7109375" style="77" bestFit="1" customWidth="1"/>
    <col min="13824" max="13825" width="11.7109375" style="77" customWidth="1"/>
    <col min="13826" max="13826" width="12.42578125" style="77" bestFit="1" customWidth="1"/>
    <col min="13827" max="13827" width="12.7109375" style="77" customWidth="1"/>
    <col min="13828" max="13828" width="10.42578125" style="77" customWidth="1"/>
    <col min="13829" max="13829" width="15.28515625" style="77" customWidth="1"/>
    <col min="13830" max="13830" width="15.7109375" style="77" customWidth="1"/>
    <col min="13831" max="14068" width="9" style="77" customWidth="1"/>
    <col min="14069" max="14069" width="5" style="77" customWidth="1"/>
    <col min="14070" max="14070" width="33.42578125" style="77"/>
    <col min="14071" max="14071" width="4.42578125" style="77" customWidth="1"/>
    <col min="14072" max="14072" width="29.42578125" style="77" customWidth="1"/>
    <col min="14073" max="14073" width="43.28515625" style="77" customWidth="1"/>
    <col min="14074" max="14074" width="0" style="77" hidden="1" customWidth="1"/>
    <col min="14075" max="14075" width="11.7109375" style="77" customWidth="1"/>
    <col min="14076" max="14077" width="8.42578125" style="77" customWidth="1"/>
    <col min="14078" max="14078" width="9.28515625" style="77" customWidth="1"/>
    <col min="14079" max="14079" width="10.7109375" style="77" bestFit="1" customWidth="1"/>
    <col min="14080" max="14081" width="11.7109375" style="77" customWidth="1"/>
    <col min="14082" max="14082" width="12.42578125" style="77" bestFit="1" customWidth="1"/>
    <col min="14083" max="14083" width="12.7109375" style="77" customWidth="1"/>
    <col min="14084" max="14084" width="10.42578125" style="77" customWidth="1"/>
    <col min="14085" max="14085" width="15.28515625" style="77" customWidth="1"/>
    <col min="14086" max="14086" width="15.7109375" style="77" customWidth="1"/>
    <col min="14087" max="14324" width="9" style="77" customWidth="1"/>
    <col min="14325" max="14325" width="5" style="77" customWidth="1"/>
    <col min="14326" max="14326" width="33.42578125" style="77"/>
    <col min="14327" max="14327" width="4.42578125" style="77" customWidth="1"/>
    <col min="14328" max="14328" width="29.42578125" style="77" customWidth="1"/>
    <col min="14329" max="14329" width="43.28515625" style="77" customWidth="1"/>
    <col min="14330" max="14330" width="0" style="77" hidden="1" customWidth="1"/>
    <col min="14331" max="14331" width="11.7109375" style="77" customWidth="1"/>
    <col min="14332" max="14333" width="8.42578125" style="77" customWidth="1"/>
    <col min="14334" max="14334" width="9.28515625" style="77" customWidth="1"/>
    <col min="14335" max="14335" width="10.7109375" style="77" bestFit="1" customWidth="1"/>
    <col min="14336" max="14337" width="11.7109375" style="77" customWidth="1"/>
    <col min="14338" max="14338" width="12.42578125" style="77" bestFit="1" customWidth="1"/>
    <col min="14339" max="14339" width="12.7109375" style="77" customWidth="1"/>
    <col min="14340" max="14340" width="10.42578125" style="77" customWidth="1"/>
    <col min="14341" max="14341" width="15.28515625" style="77" customWidth="1"/>
    <col min="14342" max="14342" width="15.7109375" style="77" customWidth="1"/>
    <col min="14343" max="14580" width="9" style="77" customWidth="1"/>
    <col min="14581" max="14581" width="5" style="77" customWidth="1"/>
    <col min="14582" max="14582" width="33.42578125" style="77"/>
    <col min="14583" max="14583" width="4.42578125" style="77" customWidth="1"/>
    <col min="14584" max="14584" width="29.42578125" style="77" customWidth="1"/>
    <col min="14585" max="14585" width="43.28515625" style="77" customWidth="1"/>
    <col min="14586" max="14586" width="0" style="77" hidden="1" customWidth="1"/>
    <col min="14587" max="14587" width="11.7109375" style="77" customWidth="1"/>
    <col min="14588" max="14589" width="8.42578125" style="77" customWidth="1"/>
    <col min="14590" max="14590" width="9.28515625" style="77" customWidth="1"/>
    <col min="14591" max="14591" width="10.7109375" style="77" bestFit="1" customWidth="1"/>
    <col min="14592" max="14593" width="11.7109375" style="77" customWidth="1"/>
    <col min="14594" max="14594" width="12.42578125" style="77" bestFit="1" customWidth="1"/>
    <col min="14595" max="14595" width="12.7109375" style="77" customWidth="1"/>
    <col min="14596" max="14596" width="10.42578125" style="77" customWidth="1"/>
    <col min="14597" max="14597" width="15.28515625" style="77" customWidth="1"/>
    <col min="14598" max="14598" width="15.7109375" style="77" customWidth="1"/>
    <col min="14599" max="14836" width="9" style="77" customWidth="1"/>
    <col min="14837" max="14837" width="5" style="77" customWidth="1"/>
    <col min="14838" max="14838" width="33.42578125" style="77"/>
    <col min="14839" max="14839" width="4.42578125" style="77" customWidth="1"/>
    <col min="14840" max="14840" width="29.42578125" style="77" customWidth="1"/>
    <col min="14841" max="14841" width="43.28515625" style="77" customWidth="1"/>
    <col min="14842" max="14842" width="0" style="77" hidden="1" customWidth="1"/>
    <col min="14843" max="14843" width="11.7109375" style="77" customWidth="1"/>
    <col min="14844" max="14845" width="8.42578125" style="77" customWidth="1"/>
    <col min="14846" max="14846" width="9.28515625" style="77" customWidth="1"/>
    <col min="14847" max="14847" width="10.7109375" style="77" bestFit="1" customWidth="1"/>
    <col min="14848" max="14849" width="11.7109375" style="77" customWidth="1"/>
    <col min="14850" max="14850" width="12.42578125" style="77" bestFit="1" customWidth="1"/>
    <col min="14851" max="14851" width="12.7109375" style="77" customWidth="1"/>
    <col min="14852" max="14852" width="10.42578125" style="77" customWidth="1"/>
    <col min="14853" max="14853" width="15.28515625" style="77" customWidth="1"/>
    <col min="14854" max="14854" width="15.7109375" style="77" customWidth="1"/>
    <col min="14855" max="15092" width="9" style="77" customWidth="1"/>
    <col min="15093" max="15093" width="5" style="77" customWidth="1"/>
    <col min="15094" max="15094" width="33.42578125" style="77"/>
    <col min="15095" max="15095" width="4.42578125" style="77" customWidth="1"/>
    <col min="15096" max="15096" width="29.42578125" style="77" customWidth="1"/>
    <col min="15097" max="15097" width="43.28515625" style="77" customWidth="1"/>
    <col min="15098" max="15098" width="0" style="77" hidden="1" customWidth="1"/>
    <col min="15099" max="15099" width="11.7109375" style="77" customWidth="1"/>
    <col min="15100" max="15101" width="8.42578125" style="77" customWidth="1"/>
    <col min="15102" max="15102" width="9.28515625" style="77" customWidth="1"/>
    <col min="15103" max="15103" width="10.7109375" style="77" bestFit="1" customWidth="1"/>
    <col min="15104" max="15105" width="11.7109375" style="77" customWidth="1"/>
    <col min="15106" max="15106" width="12.42578125" style="77" bestFit="1" customWidth="1"/>
    <col min="15107" max="15107" width="12.7109375" style="77" customWidth="1"/>
    <col min="15108" max="15108" width="10.42578125" style="77" customWidth="1"/>
    <col min="15109" max="15109" width="15.28515625" style="77" customWidth="1"/>
    <col min="15110" max="15110" width="15.7109375" style="77" customWidth="1"/>
    <col min="15111" max="15348" width="9" style="77" customWidth="1"/>
    <col min="15349" max="15349" width="5" style="77" customWidth="1"/>
    <col min="15350" max="15350" width="33.42578125" style="77"/>
    <col min="15351" max="15351" width="4.42578125" style="77" customWidth="1"/>
    <col min="15352" max="15352" width="29.42578125" style="77" customWidth="1"/>
    <col min="15353" max="15353" width="43.28515625" style="77" customWidth="1"/>
    <col min="15354" max="15354" width="0" style="77" hidden="1" customWidth="1"/>
    <col min="15355" max="15355" width="11.7109375" style="77" customWidth="1"/>
    <col min="15356" max="15357" width="8.42578125" style="77" customWidth="1"/>
    <col min="15358" max="15358" width="9.28515625" style="77" customWidth="1"/>
    <col min="15359" max="15359" width="10.7109375" style="77" bestFit="1" customWidth="1"/>
    <col min="15360" max="15361" width="11.7109375" style="77" customWidth="1"/>
    <col min="15362" max="15362" width="12.42578125" style="77" bestFit="1" customWidth="1"/>
    <col min="15363" max="15363" width="12.7109375" style="77" customWidth="1"/>
    <col min="15364" max="15364" width="10.42578125" style="77" customWidth="1"/>
    <col min="15365" max="15365" width="15.28515625" style="77" customWidth="1"/>
    <col min="15366" max="15366" width="15.7109375" style="77" customWidth="1"/>
    <col min="15367" max="15604" width="9" style="77" customWidth="1"/>
    <col min="15605" max="15605" width="5" style="77" customWidth="1"/>
    <col min="15606" max="15606" width="33.42578125" style="77"/>
    <col min="15607" max="15607" width="4.42578125" style="77" customWidth="1"/>
    <col min="15608" max="15608" width="29.42578125" style="77" customWidth="1"/>
    <col min="15609" max="15609" width="43.28515625" style="77" customWidth="1"/>
    <col min="15610" max="15610" width="0" style="77" hidden="1" customWidth="1"/>
    <col min="15611" max="15611" width="11.7109375" style="77" customWidth="1"/>
    <col min="15612" max="15613" width="8.42578125" style="77" customWidth="1"/>
    <col min="15614" max="15614" width="9.28515625" style="77" customWidth="1"/>
    <col min="15615" max="15615" width="10.7109375" style="77" bestFit="1" customWidth="1"/>
    <col min="15616" max="15617" width="11.7109375" style="77" customWidth="1"/>
    <col min="15618" max="15618" width="12.42578125" style="77" bestFit="1" customWidth="1"/>
    <col min="15619" max="15619" width="12.7109375" style="77" customWidth="1"/>
    <col min="15620" max="15620" width="10.42578125" style="77" customWidth="1"/>
    <col min="15621" max="15621" width="15.28515625" style="77" customWidth="1"/>
    <col min="15622" max="15622" width="15.7109375" style="77" customWidth="1"/>
    <col min="15623" max="15860" width="9" style="77" customWidth="1"/>
    <col min="15861" max="15861" width="5" style="77" customWidth="1"/>
    <col min="15862" max="15862" width="33.42578125" style="77"/>
    <col min="15863" max="15863" width="4.42578125" style="77" customWidth="1"/>
    <col min="15864" max="15864" width="29.42578125" style="77" customWidth="1"/>
    <col min="15865" max="15865" width="43.28515625" style="77" customWidth="1"/>
    <col min="15866" max="15866" width="0" style="77" hidden="1" customWidth="1"/>
    <col min="15867" max="15867" width="11.7109375" style="77" customWidth="1"/>
    <col min="15868" max="15869" width="8.42578125" style="77" customWidth="1"/>
    <col min="15870" max="15870" width="9.28515625" style="77" customWidth="1"/>
    <col min="15871" max="15871" width="10.7109375" style="77" bestFit="1" customWidth="1"/>
    <col min="15872" max="15873" width="11.7109375" style="77" customWidth="1"/>
    <col min="15874" max="15874" width="12.42578125" style="77" bestFit="1" customWidth="1"/>
    <col min="15875" max="15875" width="12.7109375" style="77" customWidth="1"/>
    <col min="15876" max="15876" width="10.42578125" style="77" customWidth="1"/>
    <col min="15877" max="15877" width="15.28515625" style="77" customWidth="1"/>
    <col min="15878" max="15878" width="15.7109375" style="77" customWidth="1"/>
    <col min="15879" max="16116" width="9" style="77" customWidth="1"/>
    <col min="16117" max="16117" width="5" style="77" customWidth="1"/>
    <col min="16118" max="16118" width="33.42578125" style="77"/>
    <col min="16119" max="16119" width="4.42578125" style="77" customWidth="1"/>
    <col min="16120" max="16120" width="29.42578125" style="77" customWidth="1"/>
    <col min="16121" max="16121" width="43.28515625" style="77" customWidth="1"/>
    <col min="16122" max="16122" width="0" style="77" hidden="1" customWidth="1"/>
    <col min="16123" max="16123" width="11.7109375" style="77" customWidth="1"/>
    <col min="16124" max="16125" width="8.42578125" style="77" customWidth="1"/>
    <col min="16126" max="16126" width="9.28515625" style="77" customWidth="1"/>
    <col min="16127" max="16127" width="10.7109375" style="77" bestFit="1" customWidth="1"/>
    <col min="16128" max="16129" width="11.7109375" style="77" customWidth="1"/>
    <col min="16130" max="16130" width="12.42578125" style="77" bestFit="1" customWidth="1"/>
    <col min="16131" max="16131" width="12.7109375" style="77" customWidth="1"/>
    <col min="16132" max="16132" width="10.42578125" style="77" customWidth="1"/>
    <col min="16133" max="16133" width="15.28515625" style="77" customWidth="1"/>
    <col min="16134" max="16134" width="15.7109375" style="77" customWidth="1"/>
    <col min="16135" max="16372" width="9" style="77" customWidth="1"/>
    <col min="16373" max="16384" width="5" style="77" customWidth="1"/>
  </cols>
  <sheetData>
    <row r="1" spans="1:246" ht="18.75" x14ac:dyDescent="0.25">
      <c r="A1" s="1031" t="s">
        <v>112</v>
      </c>
      <c r="B1" s="1031"/>
      <c r="C1" s="1031"/>
      <c r="D1" s="1031"/>
      <c r="E1" s="1031"/>
    </row>
    <row r="2" spans="1:246" x14ac:dyDescent="0.25">
      <c r="A2" s="1032"/>
      <c r="B2" s="1032"/>
      <c r="C2" s="1032"/>
      <c r="D2" s="1032"/>
      <c r="E2" s="1032"/>
    </row>
    <row r="4" spans="1:246" ht="49.5" x14ac:dyDescent="0.25">
      <c r="A4" s="78" t="s">
        <v>0</v>
      </c>
      <c r="B4" s="79"/>
      <c r="C4" s="79" t="s">
        <v>47</v>
      </c>
      <c r="D4" s="79" t="s">
        <v>48</v>
      </c>
      <c r="E4" s="80" t="s">
        <v>49</v>
      </c>
      <c r="F4" s="95" t="s">
        <v>113</v>
      </c>
    </row>
    <row r="5" spans="1:246" x14ac:dyDescent="0.25">
      <c r="A5" s="82">
        <v>1</v>
      </c>
      <c r="B5" s="82"/>
      <c r="C5" s="83">
        <v>2</v>
      </c>
      <c r="D5" s="83"/>
      <c r="E5" s="83">
        <v>3</v>
      </c>
      <c r="F5" s="236"/>
    </row>
    <row r="6" spans="1:246" ht="31.5" x14ac:dyDescent="0.25">
      <c r="A6" s="84">
        <v>1</v>
      </c>
      <c r="B6" s="84" t="s">
        <v>115</v>
      </c>
      <c r="C6" s="85" t="s">
        <v>58</v>
      </c>
      <c r="D6" s="85" t="s">
        <v>71</v>
      </c>
      <c r="E6" s="86" t="s">
        <v>50</v>
      </c>
      <c r="F6" s="237">
        <v>0.55000000000000004</v>
      </c>
    </row>
    <row r="7" spans="1:246" ht="34.5" customHeight="1" x14ac:dyDescent="0.25">
      <c r="A7" s="84">
        <v>2</v>
      </c>
      <c r="B7" s="84" t="s">
        <v>122</v>
      </c>
      <c r="C7" s="85" t="s">
        <v>123</v>
      </c>
      <c r="D7" s="85" t="s">
        <v>121</v>
      </c>
      <c r="E7" s="86" t="s">
        <v>114</v>
      </c>
      <c r="F7" s="237">
        <v>0.34</v>
      </c>
    </row>
    <row r="8" spans="1:246" ht="31.5" x14ac:dyDescent="0.25">
      <c r="A8" s="84">
        <v>3</v>
      </c>
      <c r="B8" s="84" t="s">
        <v>115</v>
      </c>
      <c r="C8" s="85" t="s">
        <v>57</v>
      </c>
      <c r="D8" s="85" t="s">
        <v>71</v>
      </c>
      <c r="E8" s="86" t="s">
        <v>114</v>
      </c>
      <c r="F8" s="237">
        <v>0.34</v>
      </c>
    </row>
    <row r="9" spans="1:246" ht="31.5" x14ac:dyDescent="0.25">
      <c r="A9" s="84">
        <v>4</v>
      </c>
      <c r="B9" s="84" t="s">
        <v>115</v>
      </c>
      <c r="C9" s="85" t="s">
        <v>60</v>
      </c>
      <c r="D9" s="85" t="s">
        <v>71</v>
      </c>
      <c r="E9" s="86" t="s">
        <v>114</v>
      </c>
      <c r="F9" s="237">
        <v>0.34</v>
      </c>
    </row>
    <row r="10" spans="1:246" ht="31.5" x14ac:dyDescent="0.25">
      <c r="A10" s="84">
        <v>5</v>
      </c>
      <c r="B10" s="84" t="s">
        <v>115</v>
      </c>
      <c r="C10" s="85" t="s">
        <v>66</v>
      </c>
      <c r="D10" s="85" t="s">
        <v>71</v>
      </c>
      <c r="E10" s="86" t="s">
        <v>114</v>
      </c>
      <c r="F10" s="237">
        <v>0.34</v>
      </c>
    </row>
    <row r="11" spans="1:246" ht="31.5" x14ac:dyDescent="0.25">
      <c r="A11" s="84">
        <v>6</v>
      </c>
      <c r="B11" s="84" t="s">
        <v>115</v>
      </c>
      <c r="C11" s="85" t="s">
        <v>68</v>
      </c>
      <c r="D11" s="85" t="s">
        <v>71</v>
      </c>
      <c r="E11" s="86" t="s">
        <v>114</v>
      </c>
      <c r="F11" s="237">
        <v>0.34</v>
      </c>
    </row>
    <row r="12" spans="1:246" ht="31.5" x14ac:dyDescent="0.25">
      <c r="A12" s="84">
        <v>7</v>
      </c>
      <c r="B12" s="84" t="s">
        <v>115</v>
      </c>
      <c r="C12" s="85" t="s">
        <v>62</v>
      </c>
      <c r="D12" s="85" t="s">
        <v>71</v>
      </c>
      <c r="E12" s="86" t="s">
        <v>114</v>
      </c>
      <c r="F12" s="237">
        <v>0.34</v>
      </c>
      <c r="G12" s="158"/>
    </row>
    <row r="13" spans="1:246" ht="31.5" x14ac:dyDescent="0.25">
      <c r="A13" s="84">
        <v>8</v>
      </c>
      <c r="B13" s="84" t="s">
        <v>115</v>
      </c>
      <c r="C13" s="85" t="s">
        <v>61</v>
      </c>
      <c r="D13" s="85" t="s">
        <v>71</v>
      </c>
      <c r="E13" s="86" t="s">
        <v>114</v>
      </c>
      <c r="F13" s="237">
        <v>0.34</v>
      </c>
    </row>
    <row r="14" spans="1:246" s="10" customFormat="1" ht="31.5" x14ac:dyDescent="0.25">
      <c r="A14" s="84">
        <v>9</v>
      </c>
      <c r="B14" s="303" t="s">
        <v>116</v>
      </c>
      <c r="C14" s="115" t="s">
        <v>117</v>
      </c>
      <c r="D14" s="85" t="s">
        <v>71</v>
      </c>
      <c r="E14" s="86" t="s">
        <v>114</v>
      </c>
      <c r="F14" s="237">
        <v>0.34</v>
      </c>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c r="EI14" s="114"/>
      <c r="EJ14" s="114"/>
      <c r="EK14" s="114"/>
      <c r="EL14" s="114"/>
      <c r="EM14" s="114"/>
      <c r="EN14" s="114"/>
      <c r="EO14" s="114"/>
      <c r="EP14" s="114"/>
      <c r="EQ14" s="114"/>
      <c r="ER14" s="114"/>
      <c r="ES14" s="114"/>
      <c r="ET14" s="114"/>
      <c r="EU14" s="114"/>
      <c r="EV14" s="114"/>
      <c r="EW14" s="114"/>
      <c r="EX14" s="114"/>
      <c r="EY14" s="114"/>
      <c r="EZ14" s="114"/>
      <c r="FA14" s="114"/>
      <c r="FB14" s="114"/>
      <c r="FC14" s="114"/>
      <c r="FD14" s="114"/>
      <c r="FE14" s="114"/>
      <c r="FF14" s="114"/>
      <c r="FG14" s="114"/>
      <c r="FH14" s="114"/>
      <c r="FI14" s="114"/>
      <c r="FJ14" s="114"/>
      <c r="FK14" s="114"/>
      <c r="FL14" s="114"/>
      <c r="FM14" s="114"/>
      <c r="FN14" s="114"/>
      <c r="FO14" s="114"/>
      <c r="FP14" s="114"/>
      <c r="FQ14" s="114"/>
      <c r="FR14" s="114"/>
      <c r="FS14" s="114"/>
      <c r="FT14" s="114"/>
      <c r="FU14" s="114"/>
      <c r="FV14" s="114"/>
      <c r="FW14" s="114"/>
      <c r="FX14" s="114"/>
      <c r="FY14" s="114"/>
      <c r="FZ14" s="114"/>
      <c r="GA14" s="114"/>
      <c r="GB14" s="114"/>
      <c r="GC14" s="114"/>
      <c r="GD14" s="114"/>
      <c r="GE14" s="114"/>
      <c r="GF14" s="114"/>
      <c r="GG14" s="114"/>
      <c r="GH14" s="114"/>
      <c r="GI14" s="114"/>
      <c r="GJ14" s="114"/>
      <c r="GK14" s="114"/>
      <c r="GL14" s="114"/>
      <c r="GM14" s="114"/>
      <c r="GN14" s="114"/>
      <c r="GO14" s="114"/>
      <c r="GP14" s="114"/>
      <c r="GQ14" s="114"/>
      <c r="GR14" s="114"/>
      <c r="GS14" s="114"/>
      <c r="GT14" s="114"/>
      <c r="GU14" s="114"/>
      <c r="GV14" s="114"/>
      <c r="GW14" s="114"/>
      <c r="GX14" s="114"/>
      <c r="GY14" s="114"/>
      <c r="GZ14" s="114"/>
      <c r="HA14" s="114"/>
      <c r="HB14" s="114"/>
      <c r="HC14" s="114"/>
      <c r="HD14" s="114"/>
      <c r="HE14" s="114"/>
      <c r="HF14" s="114"/>
      <c r="HG14" s="114"/>
      <c r="HH14" s="114"/>
      <c r="HI14" s="114"/>
      <c r="HJ14" s="114"/>
      <c r="HK14" s="114"/>
      <c r="HL14" s="114"/>
      <c r="HM14" s="114"/>
      <c r="HN14" s="114"/>
      <c r="HO14" s="114"/>
      <c r="HP14" s="114"/>
      <c r="HQ14" s="114"/>
      <c r="HR14" s="114"/>
      <c r="HS14" s="114"/>
      <c r="HT14" s="114"/>
      <c r="HU14" s="114"/>
      <c r="HV14" s="114"/>
      <c r="HW14" s="114"/>
      <c r="HX14" s="114"/>
      <c r="HY14" s="114"/>
      <c r="HZ14" s="114"/>
      <c r="IA14" s="114"/>
      <c r="IB14" s="114"/>
      <c r="IC14" s="114"/>
      <c r="ID14" s="114"/>
      <c r="IE14" s="114"/>
      <c r="IF14" s="114"/>
      <c r="IG14" s="114"/>
      <c r="IH14" s="114"/>
      <c r="II14" s="114"/>
      <c r="IJ14" s="114"/>
      <c r="IK14" s="114"/>
      <c r="IL14" s="114"/>
    </row>
    <row r="15" spans="1:246" s="10" customFormat="1" ht="31.5" x14ac:dyDescent="0.25">
      <c r="A15" s="84">
        <v>10</v>
      </c>
      <c r="B15" s="84" t="s">
        <v>115</v>
      </c>
      <c r="C15" s="115" t="s">
        <v>64</v>
      </c>
      <c r="D15" s="115" t="s">
        <v>71</v>
      </c>
      <c r="E15" s="86" t="s">
        <v>114</v>
      </c>
      <c r="F15" s="237">
        <v>0.34</v>
      </c>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14"/>
      <c r="IG15" s="114"/>
      <c r="IH15" s="114"/>
      <c r="II15" s="114"/>
      <c r="IJ15" s="114"/>
      <c r="IK15" s="114"/>
      <c r="IL15" s="114"/>
    </row>
    <row r="16" spans="1:246" s="10" customFormat="1" ht="35.25" customHeight="1" x14ac:dyDescent="0.25">
      <c r="A16" s="84">
        <v>11</v>
      </c>
      <c r="B16" s="84" t="s">
        <v>119</v>
      </c>
      <c r="C16" s="85" t="s">
        <v>120</v>
      </c>
      <c r="D16" s="85" t="s">
        <v>121</v>
      </c>
      <c r="E16" s="86" t="s">
        <v>47</v>
      </c>
      <c r="F16" s="237">
        <v>0.34</v>
      </c>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c r="EE16" s="114"/>
      <c r="EF16" s="114"/>
      <c r="EG16" s="114"/>
      <c r="EH16" s="114"/>
      <c r="EI16" s="114"/>
      <c r="EJ16" s="114"/>
      <c r="EK16" s="114"/>
      <c r="EL16" s="114"/>
      <c r="EM16" s="114"/>
      <c r="EN16" s="114"/>
      <c r="EO16" s="114"/>
      <c r="EP16" s="114"/>
      <c r="EQ16" s="114"/>
      <c r="ER16" s="114"/>
      <c r="ES16" s="114"/>
      <c r="ET16" s="114"/>
      <c r="EU16" s="114"/>
      <c r="EV16" s="114"/>
      <c r="EW16" s="114"/>
      <c r="EX16" s="114"/>
      <c r="EY16" s="114"/>
      <c r="EZ16" s="114"/>
      <c r="FA16" s="114"/>
      <c r="FB16" s="114"/>
      <c r="FC16" s="114"/>
      <c r="FD16" s="114"/>
      <c r="FE16" s="114"/>
      <c r="FF16" s="114"/>
      <c r="FG16" s="114"/>
      <c r="FH16" s="114"/>
      <c r="FI16" s="114"/>
      <c r="FJ16" s="114"/>
      <c r="FK16" s="114"/>
      <c r="FL16" s="114"/>
      <c r="FM16" s="114"/>
      <c r="FN16" s="114"/>
      <c r="FO16" s="114"/>
      <c r="FP16" s="114"/>
      <c r="FQ16" s="114"/>
      <c r="FR16" s="114"/>
      <c r="FS16" s="114"/>
      <c r="FT16" s="114"/>
      <c r="FU16" s="114"/>
      <c r="FV16" s="114"/>
      <c r="FW16" s="114"/>
      <c r="FX16" s="114"/>
      <c r="FY16" s="114"/>
      <c r="FZ16" s="114"/>
      <c r="GA16" s="114"/>
      <c r="GB16" s="114"/>
      <c r="GC16" s="114"/>
      <c r="GD16" s="114"/>
      <c r="GE16" s="114"/>
      <c r="GF16" s="114"/>
      <c r="GG16" s="114"/>
      <c r="GH16" s="114"/>
      <c r="GI16" s="114"/>
      <c r="GJ16" s="114"/>
      <c r="GK16" s="114"/>
      <c r="GL16" s="114"/>
      <c r="GM16" s="114"/>
      <c r="GN16" s="114"/>
      <c r="GO16" s="114"/>
      <c r="GP16" s="114"/>
      <c r="GQ16" s="114"/>
      <c r="GR16" s="114"/>
      <c r="GS16" s="114"/>
      <c r="GT16" s="114"/>
      <c r="GU16" s="114"/>
      <c r="GV16" s="114"/>
      <c r="GW16" s="114"/>
      <c r="GX16" s="114"/>
      <c r="GY16" s="114"/>
      <c r="GZ16" s="114"/>
      <c r="HA16" s="114"/>
      <c r="HB16" s="114"/>
      <c r="HC16" s="114"/>
      <c r="HD16" s="114"/>
      <c r="HE16" s="114"/>
      <c r="HF16" s="114"/>
      <c r="HG16" s="114"/>
      <c r="HH16" s="114"/>
      <c r="HI16" s="114"/>
      <c r="HJ16" s="114"/>
      <c r="HK16" s="114"/>
      <c r="HL16" s="114"/>
      <c r="HM16" s="114"/>
      <c r="HN16" s="114"/>
      <c r="HO16" s="114"/>
      <c r="HP16" s="114"/>
      <c r="HQ16" s="114"/>
      <c r="HR16" s="114"/>
      <c r="HS16" s="114"/>
      <c r="HT16" s="114"/>
      <c r="HU16" s="114"/>
      <c r="HV16" s="114"/>
      <c r="HW16" s="114"/>
      <c r="HX16" s="114"/>
      <c r="HY16" s="114"/>
      <c r="HZ16" s="114"/>
      <c r="IA16" s="114"/>
      <c r="IB16" s="114"/>
      <c r="IC16" s="114"/>
      <c r="ID16" s="114"/>
      <c r="IE16" s="114"/>
      <c r="IF16" s="114"/>
      <c r="IG16" s="114"/>
      <c r="IH16" s="114"/>
      <c r="II16" s="114"/>
      <c r="IJ16" s="114"/>
      <c r="IK16" s="114"/>
      <c r="IL16" s="114"/>
    </row>
    <row r="17" spans="1:6" ht="31.5" x14ac:dyDescent="0.25">
      <c r="A17" s="84">
        <v>12</v>
      </c>
      <c r="B17" s="84" t="s">
        <v>118</v>
      </c>
      <c r="C17" s="85" t="s">
        <v>67</v>
      </c>
      <c r="D17" s="85" t="s">
        <v>71</v>
      </c>
      <c r="E17" s="86" t="s">
        <v>47</v>
      </c>
      <c r="F17" s="237">
        <v>0.18</v>
      </c>
    </row>
    <row r="18" spans="1:6" ht="31.5" x14ac:dyDescent="0.25">
      <c r="A18" s="84">
        <v>13</v>
      </c>
      <c r="B18" s="84" t="s">
        <v>118</v>
      </c>
      <c r="C18" s="86" t="s">
        <v>65</v>
      </c>
      <c r="D18" s="85" t="s">
        <v>71</v>
      </c>
      <c r="E18" s="86" t="s">
        <v>47</v>
      </c>
      <c r="F18" s="237">
        <v>0.18</v>
      </c>
    </row>
    <row r="19" spans="1:6" s="238" customFormat="1" ht="31.5" x14ac:dyDescent="0.25">
      <c r="A19" s="84">
        <v>14</v>
      </c>
      <c r="B19" s="303" t="s">
        <v>119</v>
      </c>
      <c r="C19" s="115" t="s">
        <v>76</v>
      </c>
      <c r="D19" s="115" t="s">
        <v>71</v>
      </c>
      <c r="E19" s="116" t="s">
        <v>47</v>
      </c>
      <c r="F19" s="237">
        <v>0.18</v>
      </c>
    </row>
    <row r="20" spans="1:6" s="238" customFormat="1" ht="31.5" x14ac:dyDescent="0.25">
      <c r="A20" s="84">
        <v>15</v>
      </c>
      <c r="B20" s="303" t="s">
        <v>119</v>
      </c>
      <c r="C20" s="115" t="s">
        <v>77</v>
      </c>
      <c r="D20" s="115" t="s">
        <v>71</v>
      </c>
      <c r="E20" s="116" t="s">
        <v>47</v>
      </c>
      <c r="F20" s="237">
        <v>0.18</v>
      </c>
    </row>
    <row r="21" spans="1:6" ht="31.5" x14ac:dyDescent="0.25">
      <c r="A21" s="84">
        <v>16</v>
      </c>
      <c r="B21" s="84" t="s">
        <v>115</v>
      </c>
      <c r="C21" s="85" t="s">
        <v>63</v>
      </c>
      <c r="D21" s="85" t="s">
        <v>71</v>
      </c>
      <c r="E21" s="86" t="s">
        <v>47</v>
      </c>
      <c r="F21" s="237">
        <v>0.18</v>
      </c>
    </row>
    <row r="22" spans="1:6" x14ac:dyDescent="0.25">
      <c r="A22" s="84"/>
      <c r="B22" s="239"/>
      <c r="C22" s="81" t="s">
        <v>51</v>
      </c>
      <c r="D22" s="81"/>
      <c r="E22" s="85"/>
      <c r="F22" s="142"/>
    </row>
    <row r="23" spans="1:6" x14ac:dyDescent="0.25">
      <c r="F23" s="144"/>
    </row>
  </sheetData>
  <mergeCells count="2">
    <mergeCell ref="A1:E1"/>
    <mergeCell ref="A2: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23"/>
  <sheetViews>
    <sheetView workbookViewId="0">
      <selection activeCell="E4" sqref="E4"/>
    </sheetView>
  </sheetViews>
  <sheetFormatPr defaultRowHeight="15" x14ac:dyDescent="0.25"/>
  <cols>
    <col min="1" max="1" width="6.42578125" style="10" customWidth="1"/>
    <col min="2" max="2" width="19.28515625" style="10" customWidth="1"/>
    <col min="3" max="3" width="20" style="10" customWidth="1"/>
    <col min="4" max="4" width="18.5703125" style="145" customWidth="1"/>
    <col min="5" max="5" width="11.42578125" style="10" customWidth="1"/>
    <col min="6" max="247" width="9" style="10"/>
    <col min="248" max="248" width="6.42578125" style="10" customWidth="1"/>
    <col min="249" max="249" width="19.28515625" style="10" customWidth="1"/>
    <col min="250" max="250" width="10.42578125" style="10" customWidth="1"/>
    <col min="251" max="251" width="11.28515625" style="10" customWidth="1"/>
    <col min="252" max="252" width="12" style="10" customWidth="1"/>
    <col min="253" max="253" width="12.42578125" style="10" customWidth="1"/>
    <col min="254" max="254" width="9" style="10"/>
    <col min="255" max="255" width="10.7109375" style="10" customWidth="1"/>
    <col min="256" max="256" width="10.28515625" style="10" customWidth="1"/>
    <col min="257" max="257" width="11.28515625" style="10" customWidth="1"/>
    <col min="258" max="258" width="13.7109375" style="10" customWidth="1"/>
    <col min="259" max="503" width="9" style="10"/>
    <col min="504" max="504" width="6.42578125" style="10" customWidth="1"/>
    <col min="505" max="505" width="19.28515625" style="10" customWidth="1"/>
    <col min="506" max="506" width="10.42578125" style="10" customWidth="1"/>
    <col min="507" max="507" width="11.28515625" style="10" customWidth="1"/>
    <col min="508" max="508" width="12" style="10" customWidth="1"/>
    <col min="509" max="509" width="12.42578125" style="10" customWidth="1"/>
    <col min="510" max="510" width="9" style="10"/>
    <col min="511" max="511" width="10.7109375" style="10" customWidth="1"/>
    <col min="512" max="512" width="10.28515625" style="10" customWidth="1"/>
    <col min="513" max="513" width="11.28515625" style="10" customWidth="1"/>
    <col min="514" max="514" width="13.7109375" style="10" customWidth="1"/>
    <col min="515" max="759" width="9" style="10"/>
    <col min="760" max="760" width="6.42578125" style="10" customWidth="1"/>
    <col min="761" max="761" width="19.28515625" style="10" customWidth="1"/>
    <col min="762" max="762" width="10.42578125" style="10" customWidth="1"/>
    <col min="763" max="763" width="11.28515625" style="10" customWidth="1"/>
    <col min="764" max="764" width="12" style="10" customWidth="1"/>
    <col min="765" max="765" width="12.42578125" style="10" customWidth="1"/>
    <col min="766" max="766" width="9" style="10"/>
    <col min="767" max="767" width="10.7109375" style="10" customWidth="1"/>
    <col min="768" max="768" width="10.28515625" style="10" customWidth="1"/>
    <col min="769" max="769" width="11.28515625" style="10" customWidth="1"/>
    <col min="770" max="770" width="13.7109375" style="10" customWidth="1"/>
    <col min="771" max="1015" width="9" style="10"/>
    <col min="1016" max="1016" width="6.42578125" style="10" customWidth="1"/>
    <col min="1017" max="1017" width="19.28515625" style="10" customWidth="1"/>
    <col min="1018" max="1018" width="10.42578125" style="10" customWidth="1"/>
    <col min="1019" max="1019" width="11.28515625" style="10" customWidth="1"/>
    <col min="1020" max="1020" width="12" style="10" customWidth="1"/>
    <col min="1021" max="1021" width="12.42578125" style="10" customWidth="1"/>
    <col min="1022" max="1022" width="9" style="10"/>
    <col min="1023" max="1023" width="10.7109375" style="10" customWidth="1"/>
    <col min="1024" max="1024" width="10.28515625" style="10" customWidth="1"/>
    <col min="1025" max="1025" width="11.28515625" style="10" customWidth="1"/>
    <col min="1026" max="1026" width="13.7109375" style="10" customWidth="1"/>
    <col min="1027" max="1271" width="9" style="10"/>
    <col min="1272" max="1272" width="6.42578125" style="10" customWidth="1"/>
    <col min="1273" max="1273" width="19.28515625" style="10" customWidth="1"/>
    <col min="1274" max="1274" width="10.42578125" style="10" customWidth="1"/>
    <col min="1275" max="1275" width="11.28515625" style="10" customWidth="1"/>
    <col min="1276" max="1276" width="12" style="10" customWidth="1"/>
    <col min="1277" max="1277" width="12.42578125" style="10" customWidth="1"/>
    <col min="1278" max="1278" width="9" style="10"/>
    <col min="1279" max="1279" width="10.7109375" style="10" customWidth="1"/>
    <col min="1280" max="1280" width="10.28515625" style="10" customWidth="1"/>
    <col min="1281" max="1281" width="11.28515625" style="10" customWidth="1"/>
    <col min="1282" max="1282" width="13.7109375" style="10" customWidth="1"/>
    <col min="1283" max="1527" width="9" style="10"/>
    <col min="1528" max="1528" width="6.42578125" style="10" customWidth="1"/>
    <col min="1529" max="1529" width="19.28515625" style="10" customWidth="1"/>
    <col min="1530" max="1530" width="10.42578125" style="10" customWidth="1"/>
    <col min="1531" max="1531" width="11.28515625" style="10" customWidth="1"/>
    <col min="1532" max="1532" width="12" style="10" customWidth="1"/>
    <col min="1533" max="1533" width="12.42578125" style="10" customWidth="1"/>
    <col min="1534" max="1534" width="9" style="10"/>
    <col min="1535" max="1535" width="10.7109375" style="10" customWidth="1"/>
    <col min="1536" max="1536" width="10.28515625" style="10" customWidth="1"/>
    <col min="1537" max="1537" width="11.28515625" style="10" customWidth="1"/>
    <col min="1538" max="1538" width="13.7109375" style="10" customWidth="1"/>
    <col min="1539" max="1783" width="9" style="10"/>
    <col min="1784" max="1784" width="6.42578125" style="10" customWidth="1"/>
    <col min="1785" max="1785" width="19.28515625" style="10" customWidth="1"/>
    <col min="1786" max="1786" width="10.42578125" style="10" customWidth="1"/>
    <col min="1787" max="1787" width="11.28515625" style="10" customWidth="1"/>
    <col min="1788" max="1788" width="12" style="10" customWidth="1"/>
    <col min="1789" max="1789" width="12.42578125" style="10" customWidth="1"/>
    <col min="1790" max="1790" width="9" style="10"/>
    <col min="1791" max="1791" width="10.7109375" style="10" customWidth="1"/>
    <col min="1792" max="1792" width="10.28515625" style="10" customWidth="1"/>
    <col min="1793" max="1793" width="11.28515625" style="10" customWidth="1"/>
    <col min="1794" max="1794" width="13.7109375" style="10" customWidth="1"/>
    <col min="1795" max="2039" width="9" style="10"/>
    <col min="2040" max="2040" width="6.42578125" style="10" customWidth="1"/>
    <col min="2041" max="2041" width="19.28515625" style="10" customWidth="1"/>
    <col min="2042" max="2042" width="10.42578125" style="10" customWidth="1"/>
    <col min="2043" max="2043" width="11.28515625" style="10" customWidth="1"/>
    <col min="2044" max="2044" width="12" style="10" customWidth="1"/>
    <col min="2045" max="2045" width="12.42578125" style="10" customWidth="1"/>
    <col min="2046" max="2046" width="9" style="10"/>
    <col min="2047" max="2047" width="10.7109375" style="10" customWidth="1"/>
    <col min="2048" max="2048" width="10.28515625" style="10" customWidth="1"/>
    <col min="2049" max="2049" width="11.28515625" style="10" customWidth="1"/>
    <col min="2050" max="2050" width="13.7109375" style="10" customWidth="1"/>
    <col min="2051" max="2295" width="9" style="10"/>
    <col min="2296" max="2296" width="6.42578125" style="10" customWidth="1"/>
    <col min="2297" max="2297" width="19.28515625" style="10" customWidth="1"/>
    <col min="2298" max="2298" width="10.42578125" style="10" customWidth="1"/>
    <col min="2299" max="2299" width="11.28515625" style="10" customWidth="1"/>
    <col min="2300" max="2300" width="12" style="10" customWidth="1"/>
    <col min="2301" max="2301" width="12.42578125" style="10" customWidth="1"/>
    <col min="2302" max="2302" width="9" style="10"/>
    <col min="2303" max="2303" width="10.7109375" style="10" customWidth="1"/>
    <col min="2304" max="2304" width="10.28515625" style="10" customWidth="1"/>
    <col min="2305" max="2305" width="11.28515625" style="10" customWidth="1"/>
    <col min="2306" max="2306" width="13.7109375" style="10" customWidth="1"/>
    <col min="2307" max="2551" width="9" style="10"/>
    <col min="2552" max="2552" width="6.42578125" style="10" customWidth="1"/>
    <col min="2553" max="2553" width="19.28515625" style="10" customWidth="1"/>
    <col min="2554" max="2554" width="10.42578125" style="10" customWidth="1"/>
    <col min="2555" max="2555" width="11.28515625" style="10" customWidth="1"/>
    <col min="2556" max="2556" width="12" style="10" customWidth="1"/>
    <col min="2557" max="2557" width="12.42578125" style="10" customWidth="1"/>
    <col min="2558" max="2558" width="9" style="10"/>
    <col min="2559" max="2559" width="10.7109375" style="10" customWidth="1"/>
    <col min="2560" max="2560" width="10.28515625" style="10" customWidth="1"/>
    <col min="2561" max="2561" width="11.28515625" style="10" customWidth="1"/>
    <col min="2562" max="2562" width="13.7109375" style="10" customWidth="1"/>
    <col min="2563" max="2807" width="9" style="10"/>
    <col min="2808" max="2808" width="6.42578125" style="10" customWidth="1"/>
    <col min="2809" max="2809" width="19.28515625" style="10" customWidth="1"/>
    <col min="2810" max="2810" width="10.42578125" style="10" customWidth="1"/>
    <col min="2811" max="2811" width="11.28515625" style="10" customWidth="1"/>
    <col min="2812" max="2812" width="12" style="10" customWidth="1"/>
    <col min="2813" max="2813" width="12.42578125" style="10" customWidth="1"/>
    <col min="2814" max="2814" width="9" style="10"/>
    <col min="2815" max="2815" width="10.7109375" style="10" customWidth="1"/>
    <col min="2816" max="2816" width="10.28515625" style="10" customWidth="1"/>
    <col min="2817" max="2817" width="11.28515625" style="10" customWidth="1"/>
    <col min="2818" max="2818" width="13.7109375" style="10" customWidth="1"/>
    <col min="2819" max="3063" width="9" style="10"/>
    <col min="3064" max="3064" width="6.42578125" style="10" customWidth="1"/>
    <col min="3065" max="3065" width="19.28515625" style="10" customWidth="1"/>
    <col min="3066" max="3066" width="10.42578125" style="10" customWidth="1"/>
    <col min="3067" max="3067" width="11.28515625" style="10" customWidth="1"/>
    <col min="3068" max="3068" width="12" style="10" customWidth="1"/>
    <col min="3069" max="3069" width="12.42578125" style="10" customWidth="1"/>
    <col min="3070" max="3070" width="9" style="10"/>
    <col min="3071" max="3071" width="10.7109375" style="10" customWidth="1"/>
    <col min="3072" max="3072" width="10.28515625" style="10" customWidth="1"/>
    <col min="3073" max="3073" width="11.28515625" style="10" customWidth="1"/>
    <col min="3074" max="3074" width="13.7109375" style="10" customWidth="1"/>
    <col min="3075" max="3319" width="9" style="10"/>
    <col min="3320" max="3320" width="6.42578125" style="10" customWidth="1"/>
    <col min="3321" max="3321" width="19.28515625" style="10" customWidth="1"/>
    <col min="3322" max="3322" width="10.42578125" style="10" customWidth="1"/>
    <col min="3323" max="3323" width="11.28515625" style="10" customWidth="1"/>
    <col min="3324" max="3324" width="12" style="10" customWidth="1"/>
    <col min="3325" max="3325" width="12.42578125" style="10" customWidth="1"/>
    <col min="3326" max="3326" width="9" style="10"/>
    <col min="3327" max="3327" width="10.7109375" style="10" customWidth="1"/>
    <col min="3328" max="3328" width="10.28515625" style="10" customWidth="1"/>
    <col min="3329" max="3329" width="11.28515625" style="10" customWidth="1"/>
    <col min="3330" max="3330" width="13.7109375" style="10" customWidth="1"/>
    <col min="3331" max="3575" width="9" style="10"/>
    <col min="3576" max="3576" width="6.42578125" style="10" customWidth="1"/>
    <col min="3577" max="3577" width="19.28515625" style="10" customWidth="1"/>
    <col min="3578" max="3578" width="10.42578125" style="10" customWidth="1"/>
    <col min="3579" max="3579" width="11.28515625" style="10" customWidth="1"/>
    <col min="3580" max="3580" width="12" style="10" customWidth="1"/>
    <col min="3581" max="3581" width="12.42578125" style="10" customWidth="1"/>
    <col min="3582" max="3582" width="9" style="10"/>
    <col min="3583" max="3583" width="10.7109375" style="10" customWidth="1"/>
    <col min="3584" max="3584" width="10.28515625" style="10" customWidth="1"/>
    <col min="3585" max="3585" width="11.28515625" style="10" customWidth="1"/>
    <col min="3586" max="3586" width="13.7109375" style="10" customWidth="1"/>
    <col min="3587" max="3831" width="9" style="10"/>
    <col min="3832" max="3832" width="6.42578125" style="10" customWidth="1"/>
    <col min="3833" max="3833" width="19.28515625" style="10" customWidth="1"/>
    <col min="3834" max="3834" width="10.42578125" style="10" customWidth="1"/>
    <col min="3835" max="3835" width="11.28515625" style="10" customWidth="1"/>
    <col min="3836" max="3836" width="12" style="10" customWidth="1"/>
    <col min="3837" max="3837" width="12.42578125" style="10" customWidth="1"/>
    <col min="3838" max="3838" width="9" style="10"/>
    <col min="3839" max="3839" width="10.7109375" style="10" customWidth="1"/>
    <col min="3840" max="3840" width="10.28515625" style="10" customWidth="1"/>
    <col min="3841" max="3841" width="11.28515625" style="10" customWidth="1"/>
    <col min="3842" max="3842" width="13.7109375" style="10" customWidth="1"/>
    <col min="3843" max="4087" width="9" style="10"/>
    <col min="4088" max="4088" width="6.42578125" style="10" customWidth="1"/>
    <col min="4089" max="4089" width="19.28515625" style="10" customWidth="1"/>
    <col min="4090" max="4090" width="10.42578125" style="10" customWidth="1"/>
    <col min="4091" max="4091" width="11.28515625" style="10" customWidth="1"/>
    <col min="4092" max="4092" width="12" style="10" customWidth="1"/>
    <col min="4093" max="4093" width="12.42578125" style="10" customWidth="1"/>
    <col min="4094" max="4094" width="9" style="10"/>
    <col min="4095" max="4095" width="10.7109375" style="10" customWidth="1"/>
    <col min="4096" max="4096" width="10.28515625" style="10" customWidth="1"/>
    <col min="4097" max="4097" width="11.28515625" style="10" customWidth="1"/>
    <col min="4098" max="4098" width="13.7109375" style="10" customWidth="1"/>
    <col min="4099" max="4343" width="9" style="10"/>
    <col min="4344" max="4344" width="6.42578125" style="10" customWidth="1"/>
    <col min="4345" max="4345" width="19.28515625" style="10" customWidth="1"/>
    <col min="4346" max="4346" width="10.42578125" style="10" customWidth="1"/>
    <col min="4347" max="4347" width="11.28515625" style="10" customWidth="1"/>
    <col min="4348" max="4348" width="12" style="10" customWidth="1"/>
    <col min="4349" max="4349" width="12.42578125" style="10" customWidth="1"/>
    <col min="4350" max="4350" width="9" style="10"/>
    <col min="4351" max="4351" width="10.7109375" style="10" customWidth="1"/>
    <col min="4352" max="4352" width="10.28515625" style="10" customWidth="1"/>
    <col min="4353" max="4353" width="11.28515625" style="10" customWidth="1"/>
    <col min="4354" max="4354" width="13.7109375" style="10" customWidth="1"/>
    <col min="4355" max="4599" width="9" style="10"/>
    <col min="4600" max="4600" width="6.42578125" style="10" customWidth="1"/>
    <col min="4601" max="4601" width="19.28515625" style="10" customWidth="1"/>
    <col min="4602" max="4602" width="10.42578125" style="10" customWidth="1"/>
    <col min="4603" max="4603" width="11.28515625" style="10" customWidth="1"/>
    <col min="4604" max="4604" width="12" style="10" customWidth="1"/>
    <col min="4605" max="4605" width="12.42578125" style="10" customWidth="1"/>
    <col min="4606" max="4606" width="9" style="10"/>
    <col min="4607" max="4607" width="10.7109375" style="10" customWidth="1"/>
    <col min="4608" max="4608" width="10.28515625" style="10" customWidth="1"/>
    <col min="4609" max="4609" width="11.28515625" style="10" customWidth="1"/>
    <col min="4610" max="4610" width="13.7109375" style="10" customWidth="1"/>
    <col min="4611" max="4855" width="9" style="10"/>
    <col min="4856" max="4856" width="6.42578125" style="10" customWidth="1"/>
    <col min="4857" max="4857" width="19.28515625" style="10" customWidth="1"/>
    <col min="4858" max="4858" width="10.42578125" style="10" customWidth="1"/>
    <col min="4859" max="4859" width="11.28515625" style="10" customWidth="1"/>
    <col min="4860" max="4860" width="12" style="10" customWidth="1"/>
    <col min="4861" max="4861" width="12.42578125" style="10" customWidth="1"/>
    <col min="4862" max="4862" width="9" style="10"/>
    <col min="4863" max="4863" width="10.7109375" style="10" customWidth="1"/>
    <col min="4864" max="4864" width="10.28515625" style="10" customWidth="1"/>
    <col min="4865" max="4865" width="11.28515625" style="10" customWidth="1"/>
    <col min="4866" max="4866" width="13.7109375" style="10" customWidth="1"/>
    <col min="4867" max="5111" width="9" style="10"/>
    <col min="5112" max="5112" width="6.42578125" style="10" customWidth="1"/>
    <col min="5113" max="5113" width="19.28515625" style="10" customWidth="1"/>
    <col min="5114" max="5114" width="10.42578125" style="10" customWidth="1"/>
    <col min="5115" max="5115" width="11.28515625" style="10" customWidth="1"/>
    <col min="5116" max="5116" width="12" style="10" customWidth="1"/>
    <col min="5117" max="5117" width="12.42578125" style="10" customWidth="1"/>
    <col min="5118" max="5118" width="9" style="10"/>
    <col min="5119" max="5119" width="10.7109375" style="10" customWidth="1"/>
    <col min="5120" max="5120" width="10.28515625" style="10" customWidth="1"/>
    <col min="5121" max="5121" width="11.28515625" style="10" customWidth="1"/>
    <col min="5122" max="5122" width="13.7109375" style="10" customWidth="1"/>
    <col min="5123" max="5367" width="9" style="10"/>
    <col min="5368" max="5368" width="6.42578125" style="10" customWidth="1"/>
    <col min="5369" max="5369" width="19.28515625" style="10" customWidth="1"/>
    <col min="5370" max="5370" width="10.42578125" style="10" customWidth="1"/>
    <col min="5371" max="5371" width="11.28515625" style="10" customWidth="1"/>
    <col min="5372" max="5372" width="12" style="10" customWidth="1"/>
    <col min="5373" max="5373" width="12.42578125" style="10" customWidth="1"/>
    <col min="5374" max="5374" width="9" style="10"/>
    <col min="5375" max="5375" width="10.7109375" style="10" customWidth="1"/>
    <col min="5376" max="5376" width="10.28515625" style="10" customWidth="1"/>
    <col min="5377" max="5377" width="11.28515625" style="10" customWidth="1"/>
    <col min="5378" max="5378" width="13.7109375" style="10" customWidth="1"/>
    <col min="5379" max="5623" width="9" style="10"/>
    <col min="5624" max="5624" width="6.42578125" style="10" customWidth="1"/>
    <col min="5625" max="5625" width="19.28515625" style="10" customWidth="1"/>
    <col min="5626" max="5626" width="10.42578125" style="10" customWidth="1"/>
    <col min="5627" max="5627" width="11.28515625" style="10" customWidth="1"/>
    <col min="5628" max="5628" width="12" style="10" customWidth="1"/>
    <col min="5629" max="5629" width="12.42578125" style="10" customWidth="1"/>
    <col min="5630" max="5630" width="9" style="10"/>
    <col min="5631" max="5631" width="10.7109375" style="10" customWidth="1"/>
    <col min="5632" max="5632" width="10.28515625" style="10" customWidth="1"/>
    <col min="5633" max="5633" width="11.28515625" style="10" customWidth="1"/>
    <col min="5634" max="5634" width="13.7109375" style="10" customWidth="1"/>
    <col min="5635" max="5879" width="9" style="10"/>
    <col min="5880" max="5880" width="6.42578125" style="10" customWidth="1"/>
    <col min="5881" max="5881" width="19.28515625" style="10" customWidth="1"/>
    <col min="5882" max="5882" width="10.42578125" style="10" customWidth="1"/>
    <col min="5883" max="5883" width="11.28515625" style="10" customWidth="1"/>
    <col min="5884" max="5884" width="12" style="10" customWidth="1"/>
    <col min="5885" max="5885" width="12.42578125" style="10" customWidth="1"/>
    <col min="5886" max="5886" width="9" style="10"/>
    <col min="5887" max="5887" width="10.7109375" style="10" customWidth="1"/>
    <col min="5888" max="5888" width="10.28515625" style="10" customWidth="1"/>
    <col min="5889" max="5889" width="11.28515625" style="10" customWidth="1"/>
    <col min="5890" max="5890" width="13.7109375" style="10" customWidth="1"/>
    <col min="5891" max="6135" width="9" style="10"/>
    <col min="6136" max="6136" width="6.42578125" style="10" customWidth="1"/>
    <col min="6137" max="6137" width="19.28515625" style="10" customWidth="1"/>
    <col min="6138" max="6138" width="10.42578125" style="10" customWidth="1"/>
    <col min="6139" max="6139" width="11.28515625" style="10" customWidth="1"/>
    <col min="6140" max="6140" width="12" style="10" customWidth="1"/>
    <col min="6141" max="6141" width="12.42578125" style="10" customWidth="1"/>
    <col min="6142" max="6142" width="9" style="10"/>
    <col min="6143" max="6143" width="10.7109375" style="10" customWidth="1"/>
    <col min="6144" max="6144" width="10.28515625" style="10" customWidth="1"/>
    <col min="6145" max="6145" width="11.28515625" style="10" customWidth="1"/>
    <col min="6146" max="6146" width="13.7109375" style="10" customWidth="1"/>
    <col min="6147" max="6391" width="9" style="10"/>
    <col min="6392" max="6392" width="6.42578125" style="10" customWidth="1"/>
    <col min="6393" max="6393" width="19.28515625" style="10" customWidth="1"/>
    <col min="6394" max="6394" width="10.42578125" style="10" customWidth="1"/>
    <col min="6395" max="6395" width="11.28515625" style="10" customWidth="1"/>
    <col min="6396" max="6396" width="12" style="10" customWidth="1"/>
    <col min="6397" max="6397" width="12.42578125" style="10" customWidth="1"/>
    <col min="6398" max="6398" width="9" style="10"/>
    <col min="6399" max="6399" width="10.7109375" style="10" customWidth="1"/>
    <col min="6400" max="6400" width="10.28515625" style="10" customWidth="1"/>
    <col min="6401" max="6401" width="11.28515625" style="10" customWidth="1"/>
    <col min="6402" max="6402" width="13.7109375" style="10" customWidth="1"/>
    <col min="6403" max="6647" width="9" style="10"/>
    <col min="6648" max="6648" width="6.42578125" style="10" customWidth="1"/>
    <col min="6649" max="6649" width="19.28515625" style="10" customWidth="1"/>
    <col min="6650" max="6650" width="10.42578125" style="10" customWidth="1"/>
    <col min="6651" max="6651" width="11.28515625" style="10" customWidth="1"/>
    <col min="6652" max="6652" width="12" style="10" customWidth="1"/>
    <col min="6653" max="6653" width="12.42578125" style="10" customWidth="1"/>
    <col min="6654" max="6654" width="9" style="10"/>
    <col min="6655" max="6655" width="10.7109375" style="10" customWidth="1"/>
    <col min="6656" max="6656" width="10.28515625" style="10" customWidth="1"/>
    <col min="6657" max="6657" width="11.28515625" style="10" customWidth="1"/>
    <col min="6658" max="6658" width="13.7109375" style="10" customWidth="1"/>
    <col min="6659" max="6903" width="9" style="10"/>
    <col min="6904" max="6904" width="6.42578125" style="10" customWidth="1"/>
    <col min="6905" max="6905" width="19.28515625" style="10" customWidth="1"/>
    <col min="6906" max="6906" width="10.42578125" style="10" customWidth="1"/>
    <col min="6907" max="6907" width="11.28515625" style="10" customWidth="1"/>
    <col min="6908" max="6908" width="12" style="10" customWidth="1"/>
    <col min="6909" max="6909" width="12.42578125" style="10" customWidth="1"/>
    <col min="6910" max="6910" width="9" style="10"/>
    <col min="6911" max="6911" width="10.7109375" style="10" customWidth="1"/>
    <col min="6912" max="6912" width="10.28515625" style="10" customWidth="1"/>
    <col min="6913" max="6913" width="11.28515625" style="10" customWidth="1"/>
    <col min="6914" max="6914" width="13.7109375" style="10" customWidth="1"/>
    <col min="6915" max="7159" width="9" style="10"/>
    <col min="7160" max="7160" width="6.42578125" style="10" customWidth="1"/>
    <col min="7161" max="7161" width="19.28515625" style="10" customWidth="1"/>
    <col min="7162" max="7162" width="10.42578125" style="10" customWidth="1"/>
    <col min="7163" max="7163" width="11.28515625" style="10" customWidth="1"/>
    <col min="7164" max="7164" width="12" style="10" customWidth="1"/>
    <col min="7165" max="7165" width="12.42578125" style="10" customWidth="1"/>
    <col min="7166" max="7166" width="9" style="10"/>
    <col min="7167" max="7167" width="10.7109375" style="10" customWidth="1"/>
    <col min="7168" max="7168" width="10.28515625" style="10" customWidth="1"/>
    <col min="7169" max="7169" width="11.28515625" style="10" customWidth="1"/>
    <col min="7170" max="7170" width="13.7109375" style="10" customWidth="1"/>
    <col min="7171" max="7415" width="9" style="10"/>
    <col min="7416" max="7416" width="6.42578125" style="10" customWidth="1"/>
    <col min="7417" max="7417" width="19.28515625" style="10" customWidth="1"/>
    <col min="7418" max="7418" width="10.42578125" style="10" customWidth="1"/>
    <col min="7419" max="7419" width="11.28515625" style="10" customWidth="1"/>
    <col min="7420" max="7420" width="12" style="10" customWidth="1"/>
    <col min="7421" max="7421" width="12.42578125" style="10" customWidth="1"/>
    <col min="7422" max="7422" width="9" style="10"/>
    <col min="7423" max="7423" width="10.7109375" style="10" customWidth="1"/>
    <col min="7424" max="7424" width="10.28515625" style="10" customWidth="1"/>
    <col min="7425" max="7425" width="11.28515625" style="10" customWidth="1"/>
    <col min="7426" max="7426" width="13.7109375" style="10" customWidth="1"/>
    <col min="7427" max="7671" width="9" style="10"/>
    <col min="7672" max="7672" width="6.42578125" style="10" customWidth="1"/>
    <col min="7673" max="7673" width="19.28515625" style="10" customWidth="1"/>
    <col min="7674" max="7674" width="10.42578125" style="10" customWidth="1"/>
    <col min="7675" max="7675" width="11.28515625" style="10" customWidth="1"/>
    <col min="7676" max="7676" width="12" style="10" customWidth="1"/>
    <col min="7677" max="7677" width="12.42578125" style="10" customWidth="1"/>
    <col min="7678" max="7678" width="9" style="10"/>
    <col min="7679" max="7679" width="10.7109375" style="10" customWidth="1"/>
    <col min="7680" max="7680" width="10.28515625" style="10" customWidth="1"/>
    <col min="7681" max="7681" width="11.28515625" style="10" customWidth="1"/>
    <col min="7682" max="7682" width="13.7109375" style="10" customWidth="1"/>
    <col min="7683" max="7927" width="9" style="10"/>
    <col min="7928" max="7928" width="6.42578125" style="10" customWidth="1"/>
    <col min="7929" max="7929" width="19.28515625" style="10" customWidth="1"/>
    <col min="7930" max="7930" width="10.42578125" style="10" customWidth="1"/>
    <col min="7931" max="7931" width="11.28515625" style="10" customWidth="1"/>
    <col min="7932" max="7932" width="12" style="10" customWidth="1"/>
    <col min="7933" max="7933" width="12.42578125" style="10" customWidth="1"/>
    <col min="7934" max="7934" width="9" style="10"/>
    <col min="7935" max="7935" width="10.7109375" style="10" customWidth="1"/>
    <col min="7936" max="7936" width="10.28515625" style="10" customWidth="1"/>
    <col min="7937" max="7937" width="11.28515625" style="10" customWidth="1"/>
    <col min="7938" max="7938" width="13.7109375" style="10" customWidth="1"/>
    <col min="7939" max="8183" width="9" style="10"/>
    <col min="8184" max="8184" width="6.42578125" style="10" customWidth="1"/>
    <col min="8185" max="8185" width="19.28515625" style="10" customWidth="1"/>
    <col min="8186" max="8186" width="10.42578125" style="10" customWidth="1"/>
    <col min="8187" max="8187" width="11.28515625" style="10" customWidth="1"/>
    <col min="8188" max="8188" width="12" style="10" customWidth="1"/>
    <col min="8189" max="8189" width="12.42578125" style="10" customWidth="1"/>
    <col min="8190" max="8190" width="9" style="10"/>
    <col min="8191" max="8191" width="10.7109375" style="10" customWidth="1"/>
    <col min="8192" max="8192" width="10.28515625" style="10" customWidth="1"/>
    <col min="8193" max="8193" width="11.28515625" style="10" customWidth="1"/>
    <col min="8194" max="8194" width="13.7109375" style="10" customWidth="1"/>
    <col min="8195" max="8439" width="9" style="10"/>
    <col min="8440" max="8440" width="6.42578125" style="10" customWidth="1"/>
    <col min="8441" max="8441" width="19.28515625" style="10" customWidth="1"/>
    <col min="8442" max="8442" width="10.42578125" style="10" customWidth="1"/>
    <col min="8443" max="8443" width="11.28515625" style="10" customWidth="1"/>
    <col min="8444" max="8444" width="12" style="10" customWidth="1"/>
    <col min="8445" max="8445" width="12.42578125" style="10" customWidth="1"/>
    <col min="8446" max="8446" width="9" style="10"/>
    <col min="8447" max="8447" width="10.7109375" style="10" customWidth="1"/>
    <col min="8448" max="8448" width="10.28515625" style="10" customWidth="1"/>
    <col min="8449" max="8449" width="11.28515625" style="10" customWidth="1"/>
    <col min="8450" max="8450" width="13.7109375" style="10" customWidth="1"/>
    <col min="8451" max="8695" width="9" style="10"/>
    <col min="8696" max="8696" width="6.42578125" style="10" customWidth="1"/>
    <col min="8697" max="8697" width="19.28515625" style="10" customWidth="1"/>
    <col min="8698" max="8698" width="10.42578125" style="10" customWidth="1"/>
    <col min="8699" max="8699" width="11.28515625" style="10" customWidth="1"/>
    <col min="8700" max="8700" width="12" style="10" customWidth="1"/>
    <col min="8701" max="8701" width="12.42578125" style="10" customWidth="1"/>
    <col min="8702" max="8702" width="9" style="10"/>
    <col min="8703" max="8703" width="10.7109375" style="10" customWidth="1"/>
    <col min="8704" max="8704" width="10.28515625" style="10" customWidth="1"/>
    <col min="8705" max="8705" width="11.28515625" style="10" customWidth="1"/>
    <col min="8706" max="8706" width="13.7109375" style="10" customWidth="1"/>
    <col min="8707" max="8951" width="9" style="10"/>
    <col min="8952" max="8952" width="6.42578125" style="10" customWidth="1"/>
    <col min="8953" max="8953" width="19.28515625" style="10" customWidth="1"/>
    <col min="8954" max="8954" width="10.42578125" style="10" customWidth="1"/>
    <col min="8955" max="8955" width="11.28515625" style="10" customWidth="1"/>
    <col min="8956" max="8956" width="12" style="10" customWidth="1"/>
    <col min="8957" max="8957" width="12.42578125" style="10" customWidth="1"/>
    <col min="8958" max="8958" width="9" style="10"/>
    <col min="8959" max="8959" width="10.7109375" style="10" customWidth="1"/>
    <col min="8960" max="8960" width="10.28515625" style="10" customWidth="1"/>
    <col min="8961" max="8961" width="11.28515625" style="10" customWidth="1"/>
    <col min="8962" max="8962" width="13.7109375" style="10" customWidth="1"/>
    <col min="8963" max="9207" width="9" style="10"/>
    <col min="9208" max="9208" width="6.42578125" style="10" customWidth="1"/>
    <col min="9209" max="9209" width="19.28515625" style="10" customWidth="1"/>
    <col min="9210" max="9210" width="10.42578125" style="10" customWidth="1"/>
    <col min="9211" max="9211" width="11.28515625" style="10" customWidth="1"/>
    <col min="9212" max="9212" width="12" style="10" customWidth="1"/>
    <col min="9213" max="9213" width="12.42578125" style="10" customWidth="1"/>
    <col min="9214" max="9214" width="9" style="10"/>
    <col min="9215" max="9215" width="10.7109375" style="10" customWidth="1"/>
    <col min="9216" max="9216" width="10.28515625" style="10" customWidth="1"/>
    <col min="9217" max="9217" width="11.28515625" style="10" customWidth="1"/>
    <col min="9218" max="9218" width="13.7109375" style="10" customWidth="1"/>
    <col min="9219" max="9463" width="9" style="10"/>
    <col min="9464" max="9464" width="6.42578125" style="10" customWidth="1"/>
    <col min="9465" max="9465" width="19.28515625" style="10" customWidth="1"/>
    <col min="9466" max="9466" width="10.42578125" style="10" customWidth="1"/>
    <col min="9467" max="9467" width="11.28515625" style="10" customWidth="1"/>
    <col min="9468" max="9468" width="12" style="10" customWidth="1"/>
    <col min="9469" max="9469" width="12.42578125" style="10" customWidth="1"/>
    <col min="9470" max="9470" width="9" style="10"/>
    <col min="9471" max="9471" width="10.7109375" style="10" customWidth="1"/>
    <col min="9472" max="9472" width="10.28515625" style="10" customWidth="1"/>
    <col min="9473" max="9473" width="11.28515625" style="10" customWidth="1"/>
    <col min="9474" max="9474" width="13.7109375" style="10" customWidth="1"/>
    <col min="9475" max="9719" width="9" style="10"/>
    <col min="9720" max="9720" width="6.42578125" style="10" customWidth="1"/>
    <col min="9721" max="9721" width="19.28515625" style="10" customWidth="1"/>
    <col min="9722" max="9722" width="10.42578125" style="10" customWidth="1"/>
    <col min="9723" max="9723" width="11.28515625" style="10" customWidth="1"/>
    <col min="9724" max="9724" width="12" style="10" customWidth="1"/>
    <col min="9725" max="9725" width="12.42578125" style="10" customWidth="1"/>
    <col min="9726" max="9726" width="9" style="10"/>
    <col min="9727" max="9727" width="10.7109375" style="10" customWidth="1"/>
    <col min="9728" max="9728" width="10.28515625" style="10" customWidth="1"/>
    <col min="9729" max="9729" width="11.28515625" style="10" customWidth="1"/>
    <col min="9730" max="9730" width="13.7109375" style="10" customWidth="1"/>
    <col min="9731" max="9975" width="9" style="10"/>
    <col min="9976" max="9976" width="6.42578125" style="10" customWidth="1"/>
    <col min="9977" max="9977" width="19.28515625" style="10" customWidth="1"/>
    <col min="9978" max="9978" width="10.42578125" style="10" customWidth="1"/>
    <col min="9979" max="9979" width="11.28515625" style="10" customWidth="1"/>
    <col min="9980" max="9980" width="12" style="10" customWidth="1"/>
    <col min="9981" max="9981" width="12.42578125" style="10" customWidth="1"/>
    <col min="9982" max="9982" width="9" style="10"/>
    <col min="9983" max="9983" width="10.7109375" style="10" customWidth="1"/>
    <col min="9984" max="9984" width="10.28515625" style="10" customWidth="1"/>
    <col min="9985" max="9985" width="11.28515625" style="10" customWidth="1"/>
    <col min="9986" max="9986" width="13.7109375" style="10" customWidth="1"/>
    <col min="9987" max="10231" width="9" style="10"/>
    <col min="10232" max="10232" width="6.42578125" style="10" customWidth="1"/>
    <col min="10233" max="10233" width="19.28515625" style="10" customWidth="1"/>
    <col min="10234" max="10234" width="10.42578125" style="10" customWidth="1"/>
    <col min="10235" max="10235" width="11.28515625" style="10" customWidth="1"/>
    <col min="10236" max="10236" width="12" style="10" customWidth="1"/>
    <col min="10237" max="10237" width="12.42578125" style="10" customWidth="1"/>
    <col min="10238" max="10238" width="9" style="10"/>
    <col min="10239" max="10239" width="10.7109375" style="10" customWidth="1"/>
    <col min="10240" max="10240" width="10.28515625" style="10" customWidth="1"/>
    <col min="10241" max="10241" width="11.28515625" style="10" customWidth="1"/>
    <col min="10242" max="10242" width="13.7109375" style="10" customWidth="1"/>
    <col min="10243" max="10487" width="9" style="10"/>
    <col min="10488" max="10488" width="6.42578125" style="10" customWidth="1"/>
    <col min="10489" max="10489" width="19.28515625" style="10" customWidth="1"/>
    <col min="10490" max="10490" width="10.42578125" style="10" customWidth="1"/>
    <col min="10491" max="10491" width="11.28515625" style="10" customWidth="1"/>
    <col min="10492" max="10492" width="12" style="10" customWidth="1"/>
    <col min="10493" max="10493" width="12.42578125" style="10" customWidth="1"/>
    <col min="10494" max="10494" width="9" style="10"/>
    <col min="10495" max="10495" width="10.7109375" style="10" customWidth="1"/>
    <col min="10496" max="10496" width="10.28515625" style="10" customWidth="1"/>
    <col min="10497" max="10497" width="11.28515625" style="10" customWidth="1"/>
    <col min="10498" max="10498" width="13.7109375" style="10" customWidth="1"/>
    <col min="10499" max="10743" width="9" style="10"/>
    <col min="10744" max="10744" width="6.42578125" style="10" customWidth="1"/>
    <col min="10745" max="10745" width="19.28515625" style="10" customWidth="1"/>
    <col min="10746" max="10746" width="10.42578125" style="10" customWidth="1"/>
    <col min="10747" max="10747" width="11.28515625" style="10" customWidth="1"/>
    <col min="10748" max="10748" width="12" style="10" customWidth="1"/>
    <col min="10749" max="10749" width="12.42578125" style="10" customWidth="1"/>
    <col min="10750" max="10750" width="9" style="10"/>
    <col min="10751" max="10751" width="10.7109375" style="10" customWidth="1"/>
    <col min="10752" max="10752" width="10.28515625" style="10" customWidth="1"/>
    <col min="10753" max="10753" width="11.28515625" style="10" customWidth="1"/>
    <col min="10754" max="10754" width="13.7109375" style="10" customWidth="1"/>
    <col min="10755" max="10999" width="9" style="10"/>
    <col min="11000" max="11000" width="6.42578125" style="10" customWidth="1"/>
    <col min="11001" max="11001" width="19.28515625" style="10" customWidth="1"/>
    <col min="11002" max="11002" width="10.42578125" style="10" customWidth="1"/>
    <col min="11003" max="11003" width="11.28515625" style="10" customWidth="1"/>
    <col min="11004" max="11004" width="12" style="10" customWidth="1"/>
    <col min="11005" max="11005" width="12.42578125" style="10" customWidth="1"/>
    <col min="11006" max="11006" width="9" style="10"/>
    <col min="11007" max="11007" width="10.7109375" style="10" customWidth="1"/>
    <col min="11008" max="11008" width="10.28515625" style="10" customWidth="1"/>
    <col min="11009" max="11009" width="11.28515625" style="10" customWidth="1"/>
    <col min="11010" max="11010" width="13.7109375" style="10" customWidth="1"/>
    <col min="11011" max="11255" width="9" style="10"/>
    <col min="11256" max="11256" width="6.42578125" style="10" customWidth="1"/>
    <col min="11257" max="11257" width="19.28515625" style="10" customWidth="1"/>
    <col min="11258" max="11258" width="10.42578125" style="10" customWidth="1"/>
    <col min="11259" max="11259" width="11.28515625" style="10" customWidth="1"/>
    <col min="11260" max="11260" width="12" style="10" customWidth="1"/>
    <col min="11261" max="11261" width="12.42578125" style="10" customWidth="1"/>
    <col min="11262" max="11262" width="9" style="10"/>
    <col min="11263" max="11263" width="10.7109375" style="10" customWidth="1"/>
    <col min="11264" max="11264" width="10.28515625" style="10" customWidth="1"/>
    <col min="11265" max="11265" width="11.28515625" style="10" customWidth="1"/>
    <col min="11266" max="11266" width="13.7109375" style="10" customWidth="1"/>
    <col min="11267" max="11511" width="9" style="10"/>
    <col min="11512" max="11512" width="6.42578125" style="10" customWidth="1"/>
    <col min="11513" max="11513" width="19.28515625" style="10" customWidth="1"/>
    <col min="11514" max="11514" width="10.42578125" style="10" customWidth="1"/>
    <col min="11515" max="11515" width="11.28515625" style="10" customWidth="1"/>
    <col min="11516" max="11516" width="12" style="10" customWidth="1"/>
    <col min="11517" max="11517" width="12.42578125" style="10" customWidth="1"/>
    <col min="11518" max="11518" width="9" style="10"/>
    <col min="11519" max="11519" width="10.7109375" style="10" customWidth="1"/>
    <col min="11520" max="11520" width="10.28515625" style="10" customWidth="1"/>
    <col min="11521" max="11521" width="11.28515625" style="10" customWidth="1"/>
    <col min="11522" max="11522" width="13.7109375" style="10" customWidth="1"/>
    <col min="11523" max="11767" width="9" style="10"/>
    <col min="11768" max="11768" width="6.42578125" style="10" customWidth="1"/>
    <col min="11769" max="11769" width="19.28515625" style="10" customWidth="1"/>
    <col min="11770" max="11770" width="10.42578125" style="10" customWidth="1"/>
    <col min="11771" max="11771" width="11.28515625" style="10" customWidth="1"/>
    <col min="11772" max="11772" width="12" style="10" customWidth="1"/>
    <col min="11773" max="11773" width="12.42578125" style="10" customWidth="1"/>
    <col min="11774" max="11774" width="9" style="10"/>
    <col min="11775" max="11775" width="10.7109375" style="10" customWidth="1"/>
    <col min="11776" max="11776" width="10.28515625" style="10" customWidth="1"/>
    <col min="11777" max="11777" width="11.28515625" style="10" customWidth="1"/>
    <col min="11778" max="11778" width="13.7109375" style="10" customWidth="1"/>
    <col min="11779" max="12023" width="9" style="10"/>
    <col min="12024" max="12024" width="6.42578125" style="10" customWidth="1"/>
    <col min="12025" max="12025" width="19.28515625" style="10" customWidth="1"/>
    <col min="12026" max="12026" width="10.42578125" style="10" customWidth="1"/>
    <col min="12027" max="12027" width="11.28515625" style="10" customWidth="1"/>
    <col min="12028" max="12028" width="12" style="10" customWidth="1"/>
    <col min="12029" max="12029" width="12.42578125" style="10" customWidth="1"/>
    <col min="12030" max="12030" width="9" style="10"/>
    <col min="12031" max="12031" width="10.7109375" style="10" customWidth="1"/>
    <col min="12032" max="12032" width="10.28515625" style="10" customWidth="1"/>
    <col min="12033" max="12033" width="11.28515625" style="10" customWidth="1"/>
    <col min="12034" max="12034" width="13.7109375" style="10" customWidth="1"/>
    <col min="12035" max="12279" width="9" style="10"/>
    <col min="12280" max="12280" width="6.42578125" style="10" customWidth="1"/>
    <col min="12281" max="12281" width="19.28515625" style="10" customWidth="1"/>
    <col min="12282" max="12282" width="10.42578125" style="10" customWidth="1"/>
    <col min="12283" max="12283" width="11.28515625" style="10" customWidth="1"/>
    <col min="12284" max="12284" width="12" style="10" customWidth="1"/>
    <col min="12285" max="12285" width="12.42578125" style="10" customWidth="1"/>
    <col min="12286" max="12286" width="9" style="10"/>
    <col min="12287" max="12287" width="10.7109375" style="10" customWidth="1"/>
    <col min="12288" max="12288" width="10.28515625" style="10" customWidth="1"/>
    <col min="12289" max="12289" width="11.28515625" style="10" customWidth="1"/>
    <col min="12290" max="12290" width="13.7109375" style="10" customWidth="1"/>
    <col min="12291" max="12535" width="9" style="10"/>
    <col min="12536" max="12536" width="6.42578125" style="10" customWidth="1"/>
    <col min="12537" max="12537" width="19.28515625" style="10" customWidth="1"/>
    <col min="12538" max="12538" width="10.42578125" style="10" customWidth="1"/>
    <col min="12539" max="12539" width="11.28515625" style="10" customWidth="1"/>
    <col min="12540" max="12540" width="12" style="10" customWidth="1"/>
    <col min="12541" max="12541" width="12.42578125" style="10" customWidth="1"/>
    <col min="12542" max="12542" width="9" style="10"/>
    <col min="12543" max="12543" width="10.7109375" style="10" customWidth="1"/>
    <col min="12544" max="12544" width="10.28515625" style="10" customWidth="1"/>
    <col min="12545" max="12545" width="11.28515625" style="10" customWidth="1"/>
    <col min="12546" max="12546" width="13.7109375" style="10" customWidth="1"/>
    <col min="12547" max="12791" width="9" style="10"/>
    <col min="12792" max="12792" width="6.42578125" style="10" customWidth="1"/>
    <col min="12793" max="12793" width="19.28515625" style="10" customWidth="1"/>
    <col min="12794" max="12794" width="10.42578125" style="10" customWidth="1"/>
    <col min="12795" max="12795" width="11.28515625" style="10" customWidth="1"/>
    <col min="12796" max="12796" width="12" style="10" customWidth="1"/>
    <col min="12797" max="12797" width="12.42578125" style="10" customWidth="1"/>
    <col min="12798" max="12798" width="9" style="10"/>
    <col min="12799" max="12799" width="10.7109375" style="10" customWidth="1"/>
    <col min="12800" max="12800" width="10.28515625" style="10" customWidth="1"/>
    <col min="12801" max="12801" width="11.28515625" style="10" customWidth="1"/>
    <col min="12802" max="12802" width="13.7109375" style="10" customWidth="1"/>
    <col min="12803" max="13047" width="9" style="10"/>
    <col min="13048" max="13048" width="6.42578125" style="10" customWidth="1"/>
    <col min="13049" max="13049" width="19.28515625" style="10" customWidth="1"/>
    <col min="13050" max="13050" width="10.42578125" style="10" customWidth="1"/>
    <col min="13051" max="13051" width="11.28515625" style="10" customWidth="1"/>
    <col min="13052" max="13052" width="12" style="10" customWidth="1"/>
    <col min="13053" max="13053" width="12.42578125" style="10" customWidth="1"/>
    <col min="13054" max="13054" width="9" style="10"/>
    <col min="13055" max="13055" width="10.7109375" style="10" customWidth="1"/>
    <col min="13056" max="13056" width="10.28515625" style="10" customWidth="1"/>
    <col min="13057" max="13057" width="11.28515625" style="10" customWidth="1"/>
    <col min="13058" max="13058" width="13.7109375" style="10" customWidth="1"/>
    <col min="13059" max="13303" width="9" style="10"/>
    <col min="13304" max="13304" width="6.42578125" style="10" customWidth="1"/>
    <col min="13305" max="13305" width="19.28515625" style="10" customWidth="1"/>
    <col min="13306" max="13306" width="10.42578125" style="10" customWidth="1"/>
    <col min="13307" max="13307" width="11.28515625" style="10" customWidth="1"/>
    <col min="13308" max="13308" width="12" style="10" customWidth="1"/>
    <col min="13309" max="13309" width="12.42578125" style="10" customWidth="1"/>
    <col min="13310" max="13310" width="9" style="10"/>
    <col min="13311" max="13311" width="10.7109375" style="10" customWidth="1"/>
    <col min="13312" max="13312" width="10.28515625" style="10" customWidth="1"/>
    <col min="13313" max="13313" width="11.28515625" style="10" customWidth="1"/>
    <col min="13314" max="13314" width="13.7109375" style="10" customWidth="1"/>
    <col min="13315" max="13559" width="9" style="10"/>
    <col min="13560" max="13560" width="6.42578125" style="10" customWidth="1"/>
    <col min="13561" max="13561" width="19.28515625" style="10" customWidth="1"/>
    <col min="13562" max="13562" width="10.42578125" style="10" customWidth="1"/>
    <col min="13563" max="13563" width="11.28515625" style="10" customWidth="1"/>
    <col min="13564" max="13564" width="12" style="10" customWidth="1"/>
    <col min="13565" max="13565" width="12.42578125" style="10" customWidth="1"/>
    <col min="13566" max="13566" width="9" style="10"/>
    <col min="13567" max="13567" width="10.7109375" style="10" customWidth="1"/>
    <col min="13568" max="13568" width="10.28515625" style="10" customWidth="1"/>
    <col min="13569" max="13569" width="11.28515625" style="10" customWidth="1"/>
    <col min="13570" max="13570" width="13.7109375" style="10" customWidth="1"/>
    <col min="13571" max="13815" width="9" style="10"/>
    <col min="13816" max="13816" width="6.42578125" style="10" customWidth="1"/>
    <col min="13817" max="13817" width="19.28515625" style="10" customWidth="1"/>
    <col min="13818" max="13818" width="10.42578125" style="10" customWidth="1"/>
    <col min="13819" max="13819" width="11.28515625" style="10" customWidth="1"/>
    <col min="13820" max="13820" width="12" style="10" customWidth="1"/>
    <col min="13821" max="13821" width="12.42578125" style="10" customWidth="1"/>
    <col min="13822" max="13822" width="9" style="10"/>
    <col min="13823" max="13823" width="10.7109375" style="10" customWidth="1"/>
    <col min="13824" max="13824" width="10.28515625" style="10" customWidth="1"/>
    <col min="13825" max="13825" width="11.28515625" style="10" customWidth="1"/>
    <col min="13826" max="13826" width="13.7109375" style="10" customWidth="1"/>
    <col min="13827" max="14071" width="9" style="10"/>
    <col min="14072" max="14072" width="6.42578125" style="10" customWidth="1"/>
    <col min="14073" max="14073" width="19.28515625" style="10" customWidth="1"/>
    <col min="14074" max="14074" width="10.42578125" style="10" customWidth="1"/>
    <col min="14075" max="14075" width="11.28515625" style="10" customWidth="1"/>
    <col min="14076" max="14076" width="12" style="10" customWidth="1"/>
    <col min="14077" max="14077" width="12.42578125" style="10" customWidth="1"/>
    <col min="14078" max="14078" width="9" style="10"/>
    <col min="14079" max="14079" width="10.7109375" style="10" customWidth="1"/>
    <col min="14080" max="14080" width="10.28515625" style="10" customWidth="1"/>
    <col min="14081" max="14081" width="11.28515625" style="10" customWidth="1"/>
    <col min="14082" max="14082" width="13.7109375" style="10" customWidth="1"/>
    <col min="14083" max="14327" width="9" style="10"/>
    <col min="14328" max="14328" width="6.42578125" style="10" customWidth="1"/>
    <col min="14329" max="14329" width="19.28515625" style="10" customWidth="1"/>
    <col min="14330" max="14330" width="10.42578125" style="10" customWidth="1"/>
    <col min="14331" max="14331" width="11.28515625" style="10" customWidth="1"/>
    <col min="14332" max="14332" width="12" style="10" customWidth="1"/>
    <col min="14333" max="14333" width="12.42578125" style="10" customWidth="1"/>
    <col min="14334" max="14334" width="9" style="10"/>
    <col min="14335" max="14335" width="10.7109375" style="10" customWidth="1"/>
    <col min="14336" max="14336" width="10.28515625" style="10" customWidth="1"/>
    <col min="14337" max="14337" width="11.28515625" style="10" customWidth="1"/>
    <col min="14338" max="14338" width="13.7109375" style="10" customWidth="1"/>
    <col min="14339" max="14583" width="9" style="10"/>
    <col min="14584" max="14584" width="6.42578125" style="10" customWidth="1"/>
    <col min="14585" max="14585" width="19.28515625" style="10" customWidth="1"/>
    <col min="14586" max="14586" width="10.42578125" style="10" customWidth="1"/>
    <col min="14587" max="14587" width="11.28515625" style="10" customWidth="1"/>
    <col min="14588" max="14588" width="12" style="10" customWidth="1"/>
    <col min="14589" max="14589" width="12.42578125" style="10" customWidth="1"/>
    <col min="14590" max="14590" width="9" style="10"/>
    <col min="14591" max="14591" width="10.7109375" style="10" customWidth="1"/>
    <col min="14592" max="14592" width="10.28515625" style="10" customWidth="1"/>
    <col min="14593" max="14593" width="11.28515625" style="10" customWidth="1"/>
    <col min="14594" max="14594" width="13.7109375" style="10" customWidth="1"/>
    <col min="14595" max="14839" width="9" style="10"/>
    <col min="14840" max="14840" width="6.42578125" style="10" customWidth="1"/>
    <col min="14841" max="14841" width="19.28515625" style="10" customWidth="1"/>
    <col min="14842" max="14842" width="10.42578125" style="10" customWidth="1"/>
    <col min="14843" max="14843" width="11.28515625" style="10" customWidth="1"/>
    <col min="14844" max="14844" width="12" style="10" customWidth="1"/>
    <col min="14845" max="14845" width="12.42578125" style="10" customWidth="1"/>
    <col min="14846" max="14846" width="9" style="10"/>
    <col min="14847" max="14847" width="10.7109375" style="10" customWidth="1"/>
    <col min="14848" max="14848" width="10.28515625" style="10" customWidth="1"/>
    <col min="14849" max="14849" width="11.28515625" style="10" customWidth="1"/>
    <col min="14850" max="14850" width="13.7109375" style="10" customWidth="1"/>
    <col min="14851" max="15095" width="9" style="10"/>
    <col min="15096" max="15096" width="6.42578125" style="10" customWidth="1"/>
    <col min="15097" max="15097" width="19.28515625" style="10" customWidth="1"/>
    <col min="15098" max="15098" width="10.42578125" style="10" customWidth="1"/>
    <col min="15099" max="15099" width="11.28515625" style="10" customWidth="1"/>
    <col min="15100" max="15100" width="12" style="10" customWidth="1"/>
    <col min="15101" max="15101" width="12.42578125" style="10" customWidth="1"/>
    <col min="15102" max="15102" width="9" style="10"/>
    <col min="15103" max="15103" width="10.7109375" style="10" customWidth="1"/>
    <col min="15104" max="15104" width="10.28515625" style="10" customWidth="1"/>
    <col min="15105" max="15105" width="11.28515625" style="10" customWidth="1"/>
    <col min="15106" max="15106" width="13.7109375" style="10" customWidth="1"/>
    <col min="15107" max="15351" width="9" style="10"/>
    <col min="15352" max="15352" width="6.42578125" style="10" customWidth="1"/>
    <col min="15353" max="15353" width="19.28515625" style="10" customWidth="1"/>
    <col min="15354" max="15354" width="10.42578125" style="10" customWidth="1"/>
    <col min="15355" max="15355" width="11.28515625" style="10" customWidth="1"/>
    <col min="15356" max="15356" width="12" style="10" customWidth="1"/>
    <col min="15357" max="15357" width="12.42578125" style="10" customWidth="1"/>
    <col min="15358" max="15358" width="9" style="10"/>
    <col min="15359" max="15359" width="10.7109375" style="10" customWidth="1"/>
    <col min="15360" max="15360" width="10.28515625" style="10" customWidth="1"/>
    <col min="15361" max="15361" width="11.28515625" style="10" customWidth="1"/>
    <col min="15362" max="15362" width="13.7109375" style="10" customWidth="1"/>
    <col min="15363" max="15607" width="9" style="10"/>
    <col min="15608" max="15608" width="6.42578125" style="10" customWidth="1"/>
    <col min="15609" max="15609" width="19.28515625" style="10" customWidth="1"/>
    <col min="15610" max="15610" width="10.42578125" style="10" customWidth="1"/>
    <col min="15611" max="15611" width="11.28515625" style="10" customWidth="1"/>
    <col min="15612" max="15612" width="12" style="10" customWidth="1"/>
    <col min="15613" max="15613" width="12.42578125" style="10" customWidth="1"/>
    <col min="15614" max="15614" width="9" style="10"/>
    <col min="15615" max="15615" width="10.7109375" style="10" customWidth="1"/>
    <col min="15616" max="15616" width="10.28515625" style="10" customWidth="1"/>
    <col min="15617" max="15617" width="11.28515625" style="10" customWidth="1"/>
    <col min="15618" max="15618" width="13.7109375" style="10" customWidth="1"/>
    <col min="15619" max="15863" width="9" style="10"/>
    <col min="15864" max="15864" width="6.42578125" style="10" customWidth="1"/>
    <col min="15865" max="15865" width="19.28515625" style="10" customWidth="1"/>
    <col min="15866" max="15866" width="10.42578125" style="10" customWidth="1"/>
    <col min="15867" max="15867" width="11.28515625" style="10" customWidth="1"/>
    <col min="15868" max="15868" width="12" style="10" customWidth="1"/>
    <col min="15869" max="15869" width="12.42578125" style="10" customWidth="1"/>
    <col min="15870" max="15870" width="9" style="10"/>
    <col min="15871" max="15871" width="10.7109375" style="10" customWidth="1"/>
    <col min="15872" max="15872" width="10.28515625" style="10" customWidth="1"/>
    <col min="15873" max="15873" width="11.28515625" style="10" customWidth="1"/>
    <col min="15874" max="15874" width="13.7109375" style="10" customWidth="1"/>
    <col min="15875" max="16119" width="9" style="10"/>
    <col min="16120" max="16120" width="6.42578125" style="10" customWidth="1"/>
    <col min="16121" max="16121" width="19.28515625" style="10" customWidth="1"/>
    <col min="16122" max="16122" width="10.42578125" style="10" customWidth="1"/>
    <col min="16123" max="16123" width="11.28515625" style="10" customWidth="1"/>
    <col min="16124" max="16124" width="12" style="10" customWidth="1"/>
    <col min="16125" max="16125" width="12.42578125" style="10" customWidth="1"/>
    <col min="16126" max="16126" width="9" style="10"/>
    <col min="16127" max="16127" width="10.7109375" style="10" customWidth="1"/>
    <col min="16128" max="16128" width="10.28515625" style="10" customWidth="1"/>
    <col min="16129" max="16129" width="11.28515625" style="10" customWidth="1"/>
    <col min="16130" max="16130" width="13.7109375" style="10" customWidth="1"/>
    <col min="16131" max="16375" width="9" style="10"/>
    <col min="16376" max="16384" width="9" style="10" customWidth="1"/>
  </cols>
  <sheetData>
    <row r="2" spans="1:5" x14ac:dyDescent="0.25">
      <c r="B2" s="141"/>
      <c r="C2" s="11"/>
    </row>
    <row r="3" spans="1:5" ht="14.65" customHeight="1" x14ac:dyDescent="0.25">
      <c r="A3" s="138"/>
      <c r="B3" s="138"/>
      <c r="C3" s="173" t="s">
        <v>78</v>
      </c>
      <c r="D3" s="174" t="s">
        <v>72</v>
      </c>
      <c r="E3" s="175" t="s">
        <v>75</v>
      </c>
    </row>
    <row r="4" spans="1:5" x14ac:dyDescent="0.25">
      <c r="A4" s="137">
        <v>1</v>
      </c>
      <c r="B4" s="138" t="str">
        <f>[1]Luong!C9</f>
        <v>Nguyễn Thị Lan Anh</v>
      </c>
      <c r="C4" s="139">
        <f>'PLIII.Nhân công'!F29+'PLIII.Nhân công'!F55</f>
        <v>40</v>
      </c>
      <c r="D4" s="146">
        <f t="shared" ref="D4:D22" si="0">C4/22</f>
        <v>1.8181818181818181</v>
      </c>
      <c r="E4" s="135">
        <f t="shared" ref="E4:E9" si="1">C4*8</f>
        <v>320</v>
      </c>
    </row>
    <row r="5" spans="1:5" x14ac:dyDescent="0.25">
      <c r="A5" s="137">
        <v>2</v>
      </c>
      <c r="B5" s="138" t="s">
        <v>123</v>
      </c>
      <c r="C5" s="139">
        <f>'PLIII.Nhân công'!F26+'PLIII.Nhân công'!F60</f>
        <v>65</v>
      </c>
      <c r="D5" s="146">
        <f t="shared" si="0"/>
        <v>2.9545454545454546</v>
      </c>
      <c r="E5" s="135">
        <f t="shared" si="1"/>
        <v>520</v>
      </c>
    </row>
    <row r="6" spans="1:5" x14ac:dyDescent="0.25">
      <c r="A6" s="137">
        <v>3</v>
      </c>
      <c r="B6" s="138" t="str">
        <f>[1]Luong!C16</f>
        <v>Nguyễn Huy Dũng</v>
      </c>
      <c r="C6" s="139">
        <f>'PLIII.Nhân công'!F10+'PLIII.Nhân công'!F31+'PLIII.Nhân công'!F35+'PLIII.Nhân công'!F52+'PLIII.Nhân công'!F68</f>
        <v>72</v>
      </c>
      <c r="D6" s="146">
        <f t="shared" si="0"/>
        <v>3.2727272727272729</v>
      </c>
      <c r="E6" s="135">
        <f t="shared" si="1"/>
        <v>576</v>
      </c>
    </row>
    <row r="7" spans="1:5" x14ac:dyDescent="0.25">
      <c r="A7" s="137">
        <v>4</v>
      </c>
      <c r="B7" s="138" t="str">
        <f>[1]Luong!C10</f>
        <v>Nguyễn Việt Dũng</v>
      </c>
      <c r="C7" s="139">
        <f>'PLIII.Nhân công'!F7+'PLIII.Nhân công'!F9+'PLIII.Nhân công'!F49+'PLIII.Nhân công'!F53+'PLIII.Nhân công'!F56+'PLIII.Nhân công'!F67</f>
        <v>58</v>
      </c>
      <c r="D7" s="146">
        <f t="shared" si="0"/>
        <v>2.6363636363636362</v>
      </c>
      <c r="E7" s="135">
        <f t="shared" si="1"/>
        <v>464</v>
      </c>
    </row>
    <row r="8" spans="1:5" x14ac:dyDescent="0.25">
      <c r="A8" s="137">
        <v>5</v>
      </c>
      <c r="B8" s="138" t="str">
        <f>[1]Luong!C31</f>
        <v>Phạm Trung Quân</v>
      </c>
      <c r="C8" s="139">
        <f>'PLIII.Nhân công'!F21+'PLIII.Nhân công'!F48</f>
        <v>50</v>
      </c>
      <c r="D8" s="146">
        <f t="shared" si="0"/>
        <v>2.2727272727272729</v>
      </c>
      <c r="E8" s="135">
        <f t="shared" si="1"/>
        <v>400</v>
      </c>
    </row>
    <row r="9" spans="1:5" x14ac:dyDescent="0.25">
      <c r="A9" s="137">
        <v>6</v>
      </c>
      <c r="B9" s="138" t="s">
        <v>117</v>
      </c>
      <c r="C9" s="139">
        <f>'PLIII.Nhân công'!F40+'PLIII.Nhân công'!F58</f>
        <v>40</v>
      </c>
      <c r="D9" s="146">
        <f t="shared" si="0"/>
        <v>1.8181818181818181</v>
      </c>
      <c r="E9" s="135">
        <f t="shared" si="1"/>
        <v>320</v>
      </c>
    </row>
    <row r="10" spans="1:5" s="136" customFormat="1" x14ac:dyDescent="0.25">
      <c r="A10" s="137">
        <v>7</v>
      </c>
      <c r="B10" s="135" t="str">
        <f>[1]Luong!C42</f>
        <v>Nguyễn Tiến Trung</v>
      </c>
      <c r="C10" s="139">
        <f>'PLIII.Nhân công'!F39+'PLIII.Nhân công'!F69</f>
        <v>45</v>
      </c>
      <c r="D10" s="146">
        <f>C10/22</f>
        <v>2.0454545454545454</v>
      </c>
      <c r="E10" s="135">
        <f>C10*8</f>
        <v>360</v>
      </c>
    </row>
    <row r="11" spans="1:5" s="136" customFormat="1" x14ac:dyDescent="0.25">
      <c r="A11" s="137">
        <v>8</v>
      </c>
      <c r="B11" s="135" t="str">
        <f>[1]Luong!C18</f>
        <v>Phan Thị Hằng</v>
      </c>
      <c r="C11" s="139">
        <f>'PLIII.Nhân công'!F45+'PLIII.Nhân công'!F22</f>
        <v>60</v>
      </c>
      <c r="D11" s="146">
        <f t="shared" si="0"/>
        <v>2.7272727272727271</v>
      </c>
      <c r="E11" s="135">
        <f t="shared" ref="E11:E22" si="2">C11*8</f>
        <v>480</v>
      </c>
    </row>
    <row r="12" spans="1:5" s="136" customFormat="1" x14ac:dyDescent="0.25">
      <c r="A12" s="137">
        <v>9</v>
      </c>
      <c r="B12" s="135" t="str">
        <f>[1]Luong!C17</f>
        <v>Nguyễn Tiến Hùng</v>
      </c>
      <c r="C12" s="139">
        <f>'PLIII.Nhân công'!F44+'PLIII.Nhân công'!F50</f>
        <v>70</v>
      </c>
      <c r="D12" s="146">
        <f t="shared" si="0"/>
        <v>3.1818181818181817</v>
      </c>
      <c r="E12" s="135">
        <f t="shared" si="2"/>
        <v>560</v>
      </c>
    </row>
    <row r="13" spans="1:5" s="136" customFormat="1" x14ac:dyDescent="0.25">
      <c r="A13" s="137">
        <v>10</v>
      </c>
      <c r="B13" s="135" t="str">
        <f>[1]Luong!C19</f>
        <v>Đỗ Thị Ngọc Mai</v>
      </c>
      <c r="C13" s="139" t="e">
        <f>'PLIII.Nhân công'!#REF!+'PLIII.Nhân công'!#REF!</f>
        <v>#REF!</v>
      </c>
      <c r="D13" s="146" t="e">
        <f t="shared" si="0"/>
        <v>#REF!</v>
      </c>
      <c r="E13" s="135" t="e">
        <f t="shared" si="2"/>
        <v>#REF!</v>
      </c>
    </row>
    <row r="14" spans="1:5" s="136" customFormat="1" x14ac:dyDescent="0.25">
      <c r="A14" s="137">
        <v>11</v>
      </c>
      <c r="B14" s="135" t="str">
        <f>[1]Luong!C21</f>
        <v>Vũ Việt Hà</v>
      </c>
      <c r="C14" s="139" t="e">
        <f>'PLIII.Nhân công'!#REF!+'PLIII.Nhân công'!#REF!</f>
        <v>#REF!</v>
      </c>
      <c r="D14" s="146" t="e">
        <f t="shared" si="0"/>
        <v>#REF!</v>
      </c>
      <c r="E14" s="135" t="e">
        <f t="shared" si="2"/>
        <v>#REF!</v>
      </c>
    </row>
    <row r="15" spans="1:5" s="136" customFormat="1" x14ac:dyDescent="0.25">
      <c r="A15" s="137">
        <v>12</v>
      </c>
      <c r="B15" s="135" t="str">
        <f>[1]Luong!C37</f>
        <v>Nguyễn Thị Hạnh</v>
      </c>
      <c r="C15" s="139" t="e">
        <f>'PLIII.Nhân công'!#REF!+'PLIII.Nhân công'!#REF!</f>
        <v>#REF!</v>
      </c>
      <c r="D15" s="146" t="e">
        <f t="shared" si="0"/>
        <v>#REF!</v>
      </c>
      <c r="E15" s="135" t="e">
        <f t="shared" si="2"/>
        <v>#REF!</v>
      </c>
    </row>
    <row r="16" spans="1:5" s="136" customFormat="1" x14ac:dyDescent="0.25">
      <c r="A16" s="137">
        <v>13</v>
      </c>
      <c r="B16" s="135" t="str">
        <f>[1]Luong!C23</f>
        <v>Vương Thu Hoài</v>
      </c>
      <c r="C16" s="139" t="e">
        <f>'PLIII.Nhân công'!#REF!+'PLIII.Nhân công'!#REF!+'PLIII.Nhân công'!#REF!</f>
        <v>#REF!</v>
      </c>
      <c r="D16" s="146" t="e">
        <f t="shared" si="0"/>
        <v>#REF!</v>
      </c>
      <c r="E16" s="135" t="e">
        <f t="shared" si="2"/>
        <v>#REF!</v>
      </c>
    </row>
    <row r="17" spans="1:6" s="136" customFormat="1" x14ac:dyDescent="0.25">
      <c r="A17" s="137">
        <v>14</v>
      </c>
      <c r="B17" s="240" t="s">
        <v>120</v>
      </c>
      <c r="C17" s="139">
        <f>'PLIII.Nhân công'!F23+'PLIII.Nhân công'!F27+'PLIII.Nhân công'!F33+'PLIII.Nhân công'!F36+'PLIII.Nhân công'!F41+'PLIII.Nhân công'!F61</f>
        <v>105</v>
      </c>
      <c r="D17" s="146">
        <f t="shared" si="0"/>
        <v>4.7727272727272725</v>
      </c>
      <c r="E17" s="135">
        <f t="shared" si="2"/>
        <v>840</v>
      </c>
      <c r="F17" s="136" t="e">
        <f>#REF!+#REF!</f>
        <v>#REF!</v>
      </c>
    </row>
    <row r="18" spans="1:6" s="136" customFormat="1" x14ac:dyDescent="0.25">
      <c r="A18" s="137">
        <v>15</v>
      </c>
      <c r="B18" s="135" t="s">
        <v>76</v>
      </c>
      <c r="C18" s="139" t="e">
        <f>'PLIII.Nhân công'!#REF!+'PLIII.Nhân công'!#REF!+'PLIII.Nhân công'!#REF!+'PLIII.Nhân công'!#REF!+'PLIII.Nhân công'!#REF!</f>
        <v>#REF!</v>
      </c>
      <c r="D18" s="146" t="e">
        <f t="shared" si="0"/>
        <v>#REF!</v>
      </c>
      <c r="E18" s="135" t="e">
        <f t="shared" si="2"/>
        <v>#REF!</v>
      </c>
      <c r="F18" s="136" t="e">
        <f>#REF!+#REF!</f>
        <v>#REF!</v>
      </c>
    </row>
    <row r="19" spans="1:6" s="136" customFormat="1" x14ac:dyDescent="0.25">
      <c r="A19" s="137">
        <v>16</v>
      </c>
      <c r="B19" s="135" t="s">
        <v>77</v>
      </c>
      <c r="C19" s="139" t="e">
        <f>'PLIII.Nhân công'!#REF!+'PLIII.Nhân công'!#REF!</f>
        <v>#REF!</v>
      </c>
      <c r="D19" s="146" t="e">
        <f t="shared" si="0"/>
        <v>#REF!</v>
      </c>
      <c r="E19" s="135" t="e">
        <f t="shared" si="2"/>
        <v>#REF!</v>
      </c>
    </row>
    <row r="20" spans="1:6" s="136" customFormat="1" x14ac:dyDescent="0.25">
      <c r="A20" s="137">
        <v>17</v>
      </c>
      <c r="B20" s="135" t="s">
        <v>64</v>
      </c>
      <c r="C20" s="139">
        <f>'PLIII.Nhân công'!F32+'PLIII.Nhân công'!F57</f>
        <v>40</v>
      </c>
      <c r="D20" s="146">
        <f t="shared" si="0"/>
        <v>1.8181818181818181</v>
      </c>
      <c r="E20" s="135">
        <f t="shared" si="2"/>
        <v>320</v>
      </c>
    </row>
    <row r="21" spans="1:6" s="136" customFormat="1" x14ac:dyDescent="0.25">
      <c r="A21" s="137">
        <v>18</v>
      </c>
      <c r="B21" s="135" t="s">
        <v>124</v>
      </c>
      <c r="C21" s="139" t="e">
        <f>'PLIII.Nhân công'!#REF!+'PLIII.Nhân công'!#REF!</f>
        <v>#REF!</v>
      </c>
      <c r="D21" s="146" t="e">
        <f t="shared" si="0"/>
        <v>#REF!</v>
      </c>
      <c r="E21" s="135" t="e">
        <f t="shared" si="2"/>
        <v>#REF!</v>
      </c>
    </row>
    <row r="22" spans="1:6" s="136" customFormat="1" x14ac:dyDescent="0.25">
      <c r="A22" s="137">
        <v>19</v>
      </c>
      <c r="B22" s="135" t="s">
        <v>125</v>
      </c>
      <c r="C22" s="139" t="e">
        <f>'PLIII.Nhân công'!#REF!+'PLIII.Nhân công'!#REF!+'PLIII.Nhân công'!#REF!</f>
        <v>#REF!</v>
      </c>
      <c r="D22" s="146" t="e">
        <f t="shared" si="0"/>
        <v>#REF!</v>
      </c>
      <c r="E22" s="135" t="e">
        <f t="shared" si="2"/>
        <v>#REF!</v>
      </c>
    </row>
    <row r="23" spans="1:6" s="162" customFormat="1" x14ac:dyDescent="0.25">
      <c r="A23" s="161"/>
      <c r="B23" s="161" t="s">
        <v>29</v>
      </c>
      <c r="C23" s="139" t="e">
        <f>SUM(C4:C22)</f>
        <v>#REF!</v>
      </c>
      <c r="D23" s="139" t="e">
        <f t="shared" ref="D23:E23" si="3">SUM(D4:D22)</f>
        <v>#REF!</v>
      </c>
      <c r="E23" s="139" t="e">
        <f t="shared" si="3"/>
        <v>#REF!</v>
      </c>
    </row>
  </sheetData>
  <pageMargins left="0.7" right="0.7" top="0.75" bottom="0.75" header="0.3" footer="0.3"/>
  <pageSetup orientation="landscape"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G23"/>
  <sheetViews>
    <sheetView workbookViewId="0">
      <selection activeCell="E16" sqref="E16"/>
    </sheetView>
  </sheetViews>
  <sheetFormatPr defaultColWidth="9" defaultRowHeight="18.75" x14ac:dyDescent="0.3"/>
  <cols>
    <col min="1" max="1" width="7.42578125" style="51" customWidth="1"/>
    <col min="2" max="2" width="50.42578125" style="51" customWidth="1"/>
    <col min="3" max="3" width="17.42578125" style="51" customWidth="1"/>
    <col min="4" max="4" width="7.7109375" style="51" customWidth="1"/>
    <col min="5" max="5" width="14.42578125" style="55" customWidth="1"/>
    <col min="6" max="6" width="17.7109375" style="55" customWidth="1"/>
    <col min="7" max="7" width="20.42578125" style="51" customWidth="1"/>
    <col min="8" max="8" width="13.42578125" style="51" customWidth="1"/>
    <col min="9" max="9" width="15" style="51" bestFit="1" customWidth="1"/>
    <col min="10" max="10" width="11.7109375" style="51" bestFit="1" customWidth="1"/>
    <col min="11" max="11" width="12" style="51" bestFit="1" customWidth="1"/>
    <col min="12" max="16384" width="9" style="51"/>
  </cols>
  <sheetData>
    <row r="1" spans="1:7" ht="56.25" x14ac:dyDescent="0.3">
      <c r="A1" s="171" t="s">
        <v>0</v>
      </c>
      <c r="B1" s="171" t="s">
        <v>1</v>
      </c>
      <c r="C1" s="171" t="s">
        <v>33</v>
      </c>
      <c r="D1" s="170" t="s">
        <v>32</v>
      </c>
      <c r="E1" s="172" t="s">
        <v>31</v>
      </c>
      <c r="F1" s="169" t="s">
        <v>30</v>
      </c>
    </row>
    <row r="2" spans="1:7" s="226" customFormat="1" x14ac:dyDescent="0.3">
      <c r="A2" s="233" t="s">
        <v>5</v>
      </c>
      <c r="B2" s="234" t="s">
        <v>108</v>
      </c>
      <c r="C2" s="222"/>
      <c r="D2" s="223"/>
      <c r="E2" s="224"/>
      <c r="F2" s="235">
        <f>SUM(F3:F7)*2</f>
        <v>16600000</v>
      </c>
    </row>
    <row r="3" spans="1:7" s="226" customFormat="1" x14ac:dyDescent="0.3">
      <c r="A3" s="233"/>
      <c r="B3" s="227" t="s">
        <v>103</v>
      </c>
      <c r="C3" s="50" t="s">
        <v>37</v>
      </c>
      <c r="D3" s="223">
        <v>1</v>
      </c>
      <c r="E3" s="224">
        <v>500000</v>
      </c>
      <c r="F3" s="221">
        <f>E3*D3</f>
        <v>500000</v>
      </c>
    </row>
    <row r="4" spans="1:7" s="226" customFormat="1" x14ac:dyDescent="0.3">
      <c r="A4" s="233"/>
      <c r="B4" s="227" t="s">
        <v>104</v>
      </c>
      <c r="C4" s="50" t="s">
        <v>37</v>
      </c>
      <c r="D4" s="223">
        <v>1</v>
      </c>
      <c r="E4" s="224">
        <v>300000</v>
      </c>
      <c r="F4" s="221">
        <f t="shared" ref="F4:F6" si="0">E4*D4</f>
        <v>300000</v>
      </c>
    </row>
    <row r="5" spans="1:7" s="226" customFormat="1" x14ac:dyDescent="0.3">
      <c r="A5" s="233"/>
      <c r="B5" s="227" t="s">
        <v>105</v>
      </c>
      <c r="C5" s="50" t="s">
        <v>37</v>
      </c>
      <c r="D5" s="223">
        <v>5</v>
      </c>
      <c r="E5" s="224">
        <v>500000</v>
      </c>
      <c r="F5" s="221">
        <f t="shared" si="0"/>
        <v>2500000</v>
      </c>
    </row>
    <row r="6" spans="1:7" s="226" customFormat="1" x14ac:dyDescent="0.3">
      <c r="A6" s="233"/>
      <c r="B6" s="227" t="s">
        <v>106</v>
      </c>
      <c r="C6" s="50" t="s">
        <v>37</v>
      </c>
      <c r="D6" s="223">
        <v>15</v>
      </c>
      <c r="E6" s="224">
        <v>200000</v>
      </c>
      <c r="F6" s="221">
        <f t="shared" si="0"/>
        <v>3000000</v>
      </c>
    </row>
    <row r="7" spans="1:7" s="226" customFormat="1" x14ac:dyDescent="0.3">
      <c r="A7" s="233"/>
      <c r="B7" s="227" t="s">
        <v>107</v>
      </c>
      <c r="C7" s="222" t="s">
        <v>102</v>
      </c>
      <c r="D7" s="223">
        <v>2</v>
      </c>
      <c r="E7" s="224">
        <v>2000000</v>
      </c>
      <c r="F7" s="225">
        <f>E7</f>
        <v>2000000</v>
      </c>
    </row>
    <row r="8" spans="1:7" s="52" customFormat="1" ht="37.5" x14ac:dyDescent="0.3">
      <c r="A8" s="129" t="s">
        <v>6</v>
      </c>
      <c r="B8" s="52" t="s">
        <v>10</v>
      </c>
      <c r="E8" s="134"/>
      <c r="F8" s="134">
        <f>F9+F16</f>
        <v>18300000</v>
      </c>
      <c r="G8" s="71"/>
    </row>
    <row r="9" spans="1:7" s="76" customFormat="1" ht="19.5" x14ac:dyDescent="0.3">
      <c r="A9" s="72">
        <v>2.1</v>
      </c>
      <c r="B9" s="73" t="s">
        <v>42</v>
      </c>
      <c r="C9" s="74"/>
      <c r="D9" s="75"/>
      <c r="E9" s="54"/>
      <c r="F9" s="133">
        <f>SUM(F10:F15)</f>
        <v>9100000</v>
      </c>
      <c r="G9" s="71"/>
    </row>
    <row r="10" spans="1:7" s="63" customFormat="1" x14ac:dyDescent="0.3">
      <c r="A10" s="62"/>
      <c r="B10" s="64" t="s">
        <v>41</v>
      </c>
      <c r="C10" s="62" t="s">
        <v>37</v>
      </c>
      <c r="D10" s="65">
        <v>1</v>
      </c>
      <c r="E10" s="53">
        <v>450000</v>
      </c>
      <c r="F10" s="53">
        <f t="shared" ref="F10:F15" si="1">E10*D10</f>
        <v>450000</v>
      </c>
      <c r="G10" s="71"/>
    </row>
    <row r="11" spans="1:7" s="63" customFormat="1" x14ac:dyDescent="0.3">
      <c r="A11" s="62"/>
      <c r="B11" s="66" t="s">
        <v>40</v>
      </c>
      <c r="C11" s="62" t="s">
        <v>37</v>
      </c>
      <c r="D11" s="65">
        <v>10</v>
      </c>
      <c r="E11" s="53">
        <v>300000</v>
      </c>
      <c r="F11" s="53">
        <f t="shared" si="1"/>
        <v>3000000</v>
      </c>
      <c r="G11" s="71"/>
    </row>
    <row r="12" spans="1:7" s="63" customFormat="1" x14ac:dyDescent="0.3">
      <c r="A12" s="62"/>
      <c r="B12" s="66" t="s">
        <v>39</v>
      </c>
      <c r="C12" s="62" t="s">
        <v>37</v>
      </c>
      <c r="D12" s="65">
        <v>1</v>
      </c>
      <c r="E12" s="53">
        <v>100000</v>
      </c>
      <c r="F12" s="53">
        <f t="shared" si="1"/>
        <v>100000</v>
      </c>
      <c r="G12" s="71"/>
    </row>
    <row r="13" spans="1:7" s="63" customFormat="1" x14ac:dyDescent="0.3">
      <c r="A13" s="62"/>
      <c r="B13" s="67" t="s">
        <v>38</v>
      </c>
      <c r="C13" s="62" t="s">
        <v>37</v>
      </c>
      <c r="D13" s="65">
        <v>40</v>
      </c>
      <c r="E13" s="53">
        <v>100000</v>
      </c>
      <c r="F13" s="53">
        <f t="shared" si="1"/>
        <v>4000000</v>
      </c>
      <c r="G13" s="71"/>
    </row>
    <row r="14" spans="1:7" s="63" customFormat="1" x14ac:dyDescent="0.3">
      <c r="A14" s="62"/>
      <c r="B14" s="68" t="s">
        <v>36</v>
      </c>
      <c r="C14" s="62" t="s">
        <v>34</v>
      </c>
      <c r="D14" s="65">
        <v>7</v>
      </c>
      <c r="E14" s="53">
        <v>150000</v>
      </c>
      <c r="F14" s="53">
        <f t="shared" si="1"/>
        <v>1050000</v>
      </c>
      <c r="G14" s="71"/>
    </row>
    <row r="15" spans="1:7" s="63" customFormat="1" ht="37.5" x14ac:dyDescent="0.3">
      <c r="A15" s="62"/>
      <c r="B15" s="69" t="s">
        <v>35</v>
      </c>
      <c r="C15" s="62" t="s">
        <v>34</v>
      </c>
      <c r="D15" s="65">
        <v>2</v>
      </c>
      <c r="E15" s="53">
        <v>250000</v>
      </c>
      <c r="F15" s="53">
        <f t="shared" si="1"/>
        <v>500000</v>
      </c>
      <c r="G15" s="71"/>
    </row>
    <row r="16" spans="1:7" s="76" customFormat="1" ht="19.5" x14ac:dyDescent="0.3">
      <c r="A16" s="72">
        <v>2.2000000000000002</v>
      </c>
      <c r="B16" s="73" t="s">
        <v>46</v>
      </c>
      <c r="C16" s="74"/>
      <c r="D16" s="75"/>
      <c r="E16" s="54"/>
      <c r="F16" s="133">
        <f>SUM(F17:F22)</f>
        <v>9200000</v>
      </c>
      <c r="G16" s="71"/>
    </row>
    <row r="17" spans="1:7" s="63" customFormat="1" x14ac:dyDescent="0.3">
      <c r="A17" s="62"/>
      <c r="B17" s="64" t="s">
        <v>41</v>
      </c>
      <c r="C17" s="62" t="s">
        <v>37</v>
      </c>
      <c r="D17" s="65">
        <v>1</v>
      </c>
      <c r="E17" s="53">
        <v>450000</v>
      </c>
      <c r="F17" s="53">
        <f t="shared" ref="F17:F22" si="2">E17*D17</f>
        <v>450000</v>
      </c>
      <c r="G17" s="71"/>
    </row>
    <row r="18" spans="1:7" s="63" customFormat="1" x14ac:dyDescent="0.3">
      <c r="A18" s="62"/>
      <c r="B18" s="66" t="s">
        <v>40</v>
      </c>
      <c r="C18" s="62" t="s">
        <v>37</v>
      </c>
      <c r="D18" s="65">
        <v>10</v>
      </c>
      <c r="E18" s="53">
        <v>300000</v>
      </c>
      <c r="F18" s="53">
        <f t="shared" si="2"/>
        <v>3000000</v>
      </c>
      <c r="G18" s="71"/>
    </row>
    <row r="19" spans="1:7" s="63" customFormat="1" x14ac:dyDescent="0.3">
      <c r="A19" s="62"/>
      <c r="B19" s="66" t="s">
        <v>39</v>
      </c>
      <c r="C19" s="62" t="s">
        <v>37</v>
      </c>
      <c r="D19" s="65">
        <v>2</v>
      </c>
      <c r="E19" s="53">
        <v>100000</v>
      </c>
      <c r="F19" s="53">
        <f t="shared" si="2"/>
        <v>200000</v>
      </c>
      <c r="G19" s="71"/>
    </row>
    <row r="20" spans="1:7" s="63" customFormat="1" x14ac:dyDescent="0.3">
      <c r="A20" s="62"/>
      <c r="B20" s="67" t="s">
        <v>38</v>
      </c>
      <c r="C20" s="62" t="s">
        <v>37</v>
      </c>
      <c r="D20" s="65">
        <v>40</v>
      </c>
      <c r="E20" s="53">
        <v>100000</v>
      </c>
      <c r="F20" s="53">
        <f t="shared" si="2"/>
        <v>4000000</v>
      </c>
      <c r="G20" s="71"/>
    </row>
    <row r="21" spans="1:7" s="63" customFormat="1" x14ac:dyDescent="0.3">
      <c r="A21" s="62"/>
      <c r="B21" s="68" t="s">
        <v>36</v>
      </c>
      <c r="C21" s="62" t="s">
        <v>34</v>
      </c>
      <c r="D21" s="65">
        <v>7</v>
      </c>
      <c r="E21" s="53">
        <v>150000</v>
      </c>
      <c r="F21" s="53">
        <f t="shared" si="2"/>
        <v>1050000</v>
      </c>
      <c r="G21" s="71"/>
    </row>
    <row r="22" spans="1:7" s="63" customFormat="1" ht="37.5" x14ac:dyDescent="0.3">
      <c r="A22" s="62"/>
      <c r="B22" s="69" t="s">
        <v>35</v>
      </c>
      <c r="C22" s="62" t="s">
        <v>34</v>
      </c>
      <c r="D22" s="65">
        <v>2</v>
      </c>
      <c r="E22" s="53">
        <v>250000</v>
      </c>
      <c r="F22" s="53">
        <f t="shared" si="2"/>
        <v>500000</v>
      </c>
      <c r="G22" s="71"/>
    </row>
    <row r="23" spans="1:7" s="63" customFormat="1" x14ac:dyDescent="0.3">
      <c r="A23" s="61"/>
      <c r="B23" s="70" t="s">
        <v>109</v>
      </c>
      <c r="C23" s="62"/>
      <c r="D23" s="62"/>
      <c r="E23" s="132"/>
      <c r="F23" s="132">
        <f>F8+F2</f>
        <v>34900000</v>
      </c>
      <c r="G23" s="71"/>
    </row>
  </sheetData>
  <pageMargins left="0.24" right="0" top="0.49" bottom="0.24" header="0.31496062992126" footer="0.2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3"/>
  <sheetViews>
    <sheetView zoomScale="85" zoomScaleNormal="85" workbookViewId="0">
      <selection activeCell="C7" sqref="C7"/>
    </sheetView>
  </sheetViews>
  <sheetFormatPr defaultRowHeight="15" x14ac:dyDescent="0.25"/>
  <cols>
    <col min="1" max="1" width="5.7109375" style="9" customWidth="1"/>
    <col min="2" max="2" width="41.7109375" style="10" customWidth="1"/>
    <col min="3" max="3" width="17.42578125" style="11" customWidth="1"/>
    <col min="4" max="4" width="10.28515625" bestFit="1" customWidth="1"/>
    <col min="5" max="5" width="17.42578125" customWidth="1"/>
    <col min="7" max="7" width="19" customWidth="1"/>
  </cols>
  <sheetData>
    <row r="1" spans="1:8" ht="48.75" customHeight="1" x14ac:dyDescent="0.25">
      <c r="A1" s="1033" t="s">
        <v>18</v>
      </c>
      <c r="B1" s="1034"/>
      <c r="C1" s="1034"/>
      <c r="D1" s="23"/>
      <c r="H1" s="24"/>
    </row>
    <row r="2" spans="1:8" ht="15.75" x14ac:dyDescent="0.25">
      <c r="A2" s="12" t="s">
        <v>0</v>
      </c>
      <c r="B2" s="15" t="s">
        <v>1</v>
      </c>
      <c r="C2" s="16" t="s">
        <v>30</v>
      </c>
    </row>
    <row r="3" spans="1:8" ht="28.5" x14ac:dyDescent="0.25">
      <c r="A3" s="18" t="s">
        <v>15</v>
      </c>
      <c r="B3" s="19" t="s">
        <v>9</v>
      </c>
      <c r="C3" s="14"/>
    </row>
    <row r="4" spans="1:8" s="25" customFormat="1" ht="26.25" customHeight="1" x14ac:dyDescent="0.25">
      <c r="A4" s="228">
        <v>1</v>
      </c>
      <c r="B4" s="230" t="str">
        <f>'PL 4b. Chi tiết hội thảo'!B2</f>
        <v>Hội thảo chuyên đề nhóm chuyên gia (số lượng 2)</v>
      </c>
      <c r="C4" s="231">
        <f>'PL 4b. Chi tiết hội thảo'!F2</f>
        <v>16600000</v>
      </c>
    </row>
    <row r="5" spans="1:8" ht="30" customHeight="1" x14ac:dyDescent="0.25">
      <c r="A5" s="228">
        <v>2</v>
      </c>
      <c r="B5" s="229" t="s">
        <v>10</v>
      </c>
      <c r="C5" s="41">
        <f>'PL 4b. Chi tiết hội thảo'!F8</f>
        <v>18300000</v>
      </c>
    </row>
    <row r="6" spans="1:8" ht="42" customHeight="1" x14ac:dyDescent="0.25">
      <c r="A6" s="228">
        <v>3</v>
      </c>
      <c r="B6" s="229" t="s">
        <v>19</v>
      </c>
      <c r="C6" s="43">
        <f>7%*1000000000</f>
        <v>70000000</v>
      </c>
      <c r="D6" s="20"/>
    </row>
    <row r="7" spans="1:8" s="25" customFormat="1" ht="30" customHeight="1" x14ac:dyDescent="0.25">
      <c r="A7" s="228">
        <v>4</v>
      </c>
      <c r="B7" s="229" t="s">
        <v>79</v>
      </c>
      <c r="C7" s="43">
        <v>15000000</v>
      </c>
      <c r="D7" s="20"/>
    </row>
    <row r="8" spans="1:8" s="25" customFormat="1" ht="30" customHeight="1" x14ac:dyDescent="0.25">
      <c r="A8" s="228">
        <v>5</v>
      </c>
      <c r="B8" s="229" t="s">
        <v>110</v>
      </c>
      <c r="C8" s="43">
        <f>75000*150</f>
        <v>11250000</v>
      </c>
      <c r="D8" s="20"/>
    </row>
    <row r="9" spans="1:8" s="10" customFormat="1" ht="30" customHeight="1" x14ac:dyDescent="0.25">
      <c r="A9" s="228">
        <v>6</v>
      </c>
      <c r="B9" s="229" t="s">
        <v>11</v>
      </c>
      <c r="C9" s="41">
        <f>850000000*0.05</f>
        <v>42500000</v>
      </c>
      <c r="E9" s="154"/>
      <c r="F9" s="154"/>
      <c r="G9" s="154"/>
    </row>
    <row r="10" spans="1:8" ht="30" customHeight="1" x14ac:dyDescent="0.25">
      <c r="A10" s="8"/>
      <c r="B10" s="18" t="s">
        <v>80</v>
      </c>
      <c r="C10" s="213">
        <f>SUM(C4:C9)</f>
        <v>173650000</v>
      </c>
      <c r="E10" s="48"/>
      <c r="F10" s="48"/>
      <c r="G10" s="48"/>
    </row>
    <row r="11" spans="1:8" x14ac:dyDescent="0.25">
      <c r="E11" s="48"/>
      <c r="F11" s="48"/>
      <c r="G11" s="48"/>
    </row>
    <row r="12" spans="1:8" x14ac:dyDescent="0.25">
      <c r="E12" s="49"/>
      <c r="F12" s="48"/>
      <c r="G12" s="49"/>
    </row>
    <row r="13" spans="1:8" x14ac:dyDescent="0.25">
      <c r="E13" s="48"/>
      <c r="F13" s="48"/>
      <c r="G13" s="48"/>
    </row>
  </sheetData>
  <mergeCells count="1">
    <mergeCell ref="A1:C1"/>
  </mergeCells>
  <pageMargins left="0.95" right="0.25" top="0.5"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9"/>
  <sheetViews>
    <sheetView workbookViewId="0">
      <selection activeCell="N11" sqref="N11"/>
    </sheetView>
  </sheetViews>
  <sheetFormatPr defaultColWidth="9.140625" defaultRowHeight="15.75" x14ac:dyDescent="0.25"/>
  <cols>
    <col min="1" max="1" width="5" style="515" customWidth="1"/>
    <col min="2" max="2" width="25.5703125" style="515" customWidth="1"/>
    <col min="3" max="3" width="18.7109375" style="515" bestFit="1" customWidth="1"/>
    <col min="4" max="4" width="16.28515625" style="515" bestFit="1" customWidth="1"/>
    <col min="5" max="5" width="11.140625" style="515" customWidth="1"/>
    <col min="6" max="6" width="9.140625" style="515"/>
    <col min="7" max="7" width="13.7109375" style="515" customWidth="1"/>
    <col min="8" max="8" width="18.42578125" style="515" bestFit="1" customWidth="1"/>
    <col min="9" max="16384" width="9.140625" style="515"/>
  </cols>
  <sheetData>
    <row r="1" spans="1:8" x14ac:dyDescent="0.25">
      <c r="A1" s="1037" t="s">
        <v>384</v>
      </c>
      <c r="B1" s="1037"/>
      <c r="C1" s="1037"/>
      <c r="D1" s="1037"/>
      <c r="E1" s="1037"/>
      <c r="F1" s="1037"/>
      <c r="G1" s="1037"/>
      <c r="H1" s="1037"/>
    </row>
    <row r="2" spans="1:8" x14ac:dyDescent="0.25">
      <c r="A2" s="561" t="s">
        <v>385</v>
      </c>
      <c r="B2" s="561"/>
      <c r="C2" s="561"/>
      <c r="D2" s="561"/>
      <c r="E2" s="561"/>
      <c r="F2" s="561"/>
      <c r="G2" s="561"/>
      <c r="H2" s="561"/>
    </row>
    <row r="3" spans="1:8" x14ac:dyDescent="0.25">
      <c r="A3" s="562"/>
      <c r="B3" s="562"/>
      <c r="C3" s="562"/>
      <c r="D3" s="562"/>
      <c r="E3" s="562"/>
      <c r="F3" s="562"/>
      <c r="G3" s="562"/>
      <c r="H3" s="562"/>
    </row>
    <row r="4" spans="1:8" x14ac:dyDescent="0.25">
      <c r="A4" s="1038" t="s">
        <v>0</v>
      </c>
      <c r="B4" s="1038" t="s">
        <v>386</v>
      </c>
      <c r="C4" s="1038" t="s">
        <v>387</v>
      </c>
      <c r="D4" s="1038" t="s">
        <v>388</v>
      </c>
      <c r="E4" s="1038"/>
      <c r="F4" s="1038"/>
      <c r="G4" s="1038"/>
      <c r="H4" s="1038"/>
    </row>
    <row r="5" spans="1:8" ht="72.75" customHeight="1" x14ac:dyDescent="0.25">
      <c r="A5" s="1038"/>
      <c r="B5" s="1038"/>
      <c r="C5" s="1038"/>
      <c r="D5" s="514" t="s">
        <v>389</v>
      </c>
      <c r="E5" s="514" t="s">
        <v>390</v>
      </c>
      <c r="F5" s="514" t="s">
        <v>391</v>
      </c>
      <c r="G5" s="514" t="s">
        <v>392</v>
      </c>
      <c r="H5" s="514" t="s">
        <v>260</v>
      </c>
    </row>
    <row r="6" spans="1:8" x14ac:dyDescent="0.25">
      <c r="A6" s="567"/>
      <c r="B6" s="568" t="s">
        <v>258</v>
      </c>
      <c r="C6" s="585">
        <f>C8</f>
        <v>1800000000</v>
      </c>
      <c r="D6" s="585">
        <f>D8</f>
        <v>988466000</v>
      </c>
      <c r="E6" s="585"/>
      <c r="F6" s="585"/>
      <c r="G6" s="585"/>
      <c r="H6" s="585">
        <f>H8</f>
        <v>811534000</v>
      </c>
    </row>
    <row r="7" spans="1:8" x14ac:dyDescent="0.25">
      <c r="A7" s="569"/>
      <c r="B7" s="570" t="s">
        <v>388</v>
      </c>
      <c r="C7" s="586"/>
      <c r="D7" s="587"/>
      <c r="E7" s="588"/>
      <c r="F7" s="588"/>
      <c r="G7" s="588"/>
      <c r="H7" s="587"/>
    </row>
    <row r="8" spans="1:8" x14ac:dyDescent="0.25">
      <c r="A8" s="567">
        <v>1</v>
      </c>
      <c r="B8" s="568" t="s">
        <v>393</v>
      </c>
      <c r="C8" s="632">
        <f>C9+C10</f>
        <v>1800000000</v>
      </c>
      <c r="D8" s="632">
        <f>D9+D10</f>
        <v>988466000</v>
      </c>
      <c r="E8" s="632"/>
      <c r="F8" s="632"/>
      <c r="G8" s="632"/>
      <c r="H8" s="632">
        <f>H9+H10</f>
        <v>811534000</v>
      </c>
    </row>
    <row r="9" spans="1:8" ht="24.75" customHeight="1" x14ac:dyDescent="0.25">
      <c r="A9" s="571" t="s">
        <v>363</v>
      </c>
      <c r="B9" s="572" t="s">
        <v>394</v>
      </c>
      <c r="C9" s="633">
        <f>D9+H9</f>
        <v>1800000000</v>
      </c>
      <c r="D9" s="633">
        <f>'PL1. Ndung cong viec'!H231</f>
        <v>988466000</v>
      </c>
      <c r="E9" s="633"/>
      <c r="F9" s="633"/>
      <c r="G9" s="633"/>
      <c r="H9" s="633">
        <f>'PL_Du toan'!E17</f>
        <v>811534000</v>
      </c>
    </row>
    <row r="10" spans="1:8" ht="31.5" x14ac:dyDescent="0.25">
      <c r="A10" s="571" t="s">
        <v>364</v>
      </c>
      <c r="B10" s="572" t="s">
        <v>395</v>
      </c>
      <c r="C10" s="633"/>
      <c r="D10" s="633"/>
      <c r="E10" s="633"/>
      <c r="F10" s="633"/>
      <c r="G10" s="633"/>
      <c r="H10" s="633"/>
    </row>
    <row r="11" spans="1:8" ht="31.5" x14ac:dyDescent="0.25">
      <c r="A11" s="567">
        <v>2</v>
      </c>
      <c r="B11" s="568" t="s">
        <v>396</v>
      </c>
      <c r="C11" s="585"/>
      <c r="D11" s="585"/>
      <c r="E11" s="585"/>
      <c r="F11" s="585"/>
      <c r="G11" s="585"/>
      <c r="H11" s="585"/>
    </row>
    <row r="12" spans="1:8" x14ac:dyDescent="0.25">
      <c r="A12" s="573"/>
      <c r="B12" s="574"/>
      <c r="C12" s="622"/>
      <c r="D12" s="623"/>
      <c r="E12" s="575"/>
      <c r="F12" s="575"/>
      <c r="G12" s="575"/>
      <c r="H12" s="575"/>
    </row>
    <row r="13" spans="1:8" x14ac:dyDescent="0.25">
      <c r="A13" s="563"/>
      <c r="B13" s="564"/>
      <c r="C13" s="565"/>
      <c r="D13" s="566"/>
      <c r="E13" s="565"/>
      <c r="F13" s="565"/>
      <c r="G13" s="1035"/>
      <c r="H13" s="1035"/>
    </row>
    <row r="14" spans="1:8" x14ac:dyDescent="0.25">
      <c r="A14" s="1036" t="s">
        <v>397</v>
      </c>
      <c r="B14" s="1036"/>
      <c r="C14" s="1036"/>
      <c r="D14" s="576"/>
      <c r="E14" s="1036" t="s">
        <v>398</v>
      </c>
      <c r="F14" s="1036"/>
      <c r="G14" s="1036"/>
      <c r="H14" s="1036"/>
    </row>
    <row r="15" spans="1:8" x14ac:dyDescent="0.25">
      <c r="A15" s="1035" t="s">
        <v>399</v>
      </c>
      <c r="B15" s="1035"/>
      <c r="C15" s="1035"/>
      <c r="D15" s="565"/>
      <c r="E15" s="1035" t="s">
        <v>400</v>
      </c>
      <c r="F15" s="1035"/>
      <c r="G15" s="1035"/>
      <c r="H15" s="1035"/>
    </row>
    <row r="16" spans="1:8" x14ac:dyDescent="0.25">
      <c r="A16" s="577"/>
      <c r="B16" s="578"/>
      <c r="C16" s="579"/>
      <c r="D16" s="580"/>
      <c r="E16" s="579"/>
      <c r="F16" s="579"/>
      <c r="G16" s="579"/>
      <c r="H16" s="579"/>
    </row>
    <row r="17" spans="1:8" x14ac:dyDescent="0.25">
      <c r="A17" s="581"/>
      <c r="B17" s="582"/>
      <c r="C17" s="583"/>
      <c r="D17" s="584"/>
      <c r="E17" s="583"/>
      <c r="F17" s="583"/>
      <c r="G17" s="583"/>
      <c r="H17" s="583"/>
    </row>
    <row r="18" spans="1:8" x14ac:dyDescent="0.25">
      <c r="A18" s="581"/>
      <c r="B18" s="582"/>
      <c r="C18" s="583"/>
      <c r="D18" s="584"/>
      <c r="E18" s="583"/>
      <c r="F18" s="583"/>
      <c r="G18" s="583"/>
      <c r="H18" s="583"/>
    </row>
    <row r="19" spans="1:8" x14ac:dyDescent="0.25">
      <c r="A19" s="581"/>
      <c r="B19" s="582"/>
      <c r="C19" s="583"/>
      <c r="D19" s="584"/>
      <c r="E19" s="583"/>
      <c r="F19" s="583"/>
      <c r="G19" s="583"/>
      <c r="H19" s="583"/>
    </row>
  </sheetData>
  <mergeCells count="10">
    <mergeCell ref="A1:H1"/>
    <mergeCell ref="A4:A5"/>
    <mergeCell ref="B4:B5"/>
    <mergeCell ref="C4:C5"/>
    <mergeCell ref="D4:H4"/>
    <mergeCell ref="G13:H13"/>
    <mergeCell ref="A14:C14"/>
    <mergeCell ref="E14:H14"/>
    <mergeCell ref="A15:C15"/>
    <mergeCell ref="E15:H1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9"/>
  <sheetViews>
    <sheetView zoomScale="80" zoomScaleNormal="80" workbookViewId="0">
      <selection activeCell="F28" sqref="F28"/>
    </sheetView>
  </sheetViews>
  <sheetFormatPr defaultColWidth="9.140625" defaultRowHeight="15.75" x14ac:dyDescent="0.25"/>
  <cols>
    <col min="1" max="1" width="9.140625" style="461"/>
    <col min="2" max="2" width="29.140625" style="461" customWidth="1"/>
    <col min="3" max="3" width="20" style="631" customWidth="1"/>
    <col min="4" max="4" width="18.85546875" style="631" customWidth="1"/>
    <col min="5" max="5" width="11.28515625" style="631" customWidth="1"/>
    <col min="6" max="6" width="11.5703125" style="631" customWidth="1"/>
    <col min="7" max="7" width="12.5703125" style="631" customWidth="1"/>
    <col min="8" max="8" width="14.5703125" style="631" customWidth="1"/>
    <col min="9" max="16384" width="9.140625" style="461"/>
  </cols>
  <sheetData>
    <row r="1" spans="1:8" s="515" customFormat="1" x14ac:dyDescent="0.25">
      <c r="A1" s="1037" t="s">
        <v>384</v>
      </c>
      <c r="B1" s="1037"/>
      <c r="C1" s="1037"/>
      <c r="D1" s="1037"/>
      <c r="E1" s="1037"/>
      <c r="F1" s="1037"/>
      <c r="G1" s="1037"/>
      <c r="H1" s="1037"/>
    </row>
    <row r="2" spans="1:8" s="515" customFormat="1" x14ac:dyDescent="0.25">
      <c r="A2" s="561" t="s">
        <v>385</v>
      </c>
      <c r="B2" s="561"/>
      <c r="C2" s="624"/>
      <c r="D2" s="624"/>
      <c r="E2" s="624"/>
      <c r="F2" s="624"/>
      <c r="G2" s="624"/>
      <c r="H2" s="624"/>
    </row>
    <row r="3" spans="1:8" x14ac:dyDescent="0.25">
      <c r="A3" s="1040" t="s">
        <v>0</v>
      </c>
      <c r="B3" s="1040" t="s">
        <v>386</v>
      </c>
      <c r="C3" s="1041" t="s">
        <v>387</v>
      </c>
      <c r="D3" s="1041" t="s">
        <v>388</v>
      </c>
      <c r="E3" s="1041"/>
      <c r="F3" s="1041"/>
      <c r="G3" s="1041"/>
      <c r="H3" s="1041"/>
    </row>
    <row r="4" spans="1:8" ht="63" x14ac:dyDescent="0.25">
      <c r="A4" s="1040"/>
      <c r="B4" s="1040"/>
      <c r="C4" s="1041"/>
      <c r="D4" s="625" t="s">
        <v>452</v>
      </c>
      <c r="E4" s="625" t="s">
        <v>390</v>
      </c>
      <c r="F4" s="625" t="s">
        <v>391</v>
      </c>
      <c r="G4" s="625" t="s">
        <v>392</v>
      </c>
      <c r="H4" s="625" t="s">
        <v>260</v>
      </c>
    </row>
    <row r="5" spans="1:8" x14ac:dyDescent="0.25">
      <c r="A5" s="514" t="s">
        <v>5</v>
      </c>
      <c r="B5" s="619" t="s">
        <v>436</v>
      </c>
      <c r="C5" s="626">
        <f>C6+C10</f>
        <v>1800000000</v>
      </c>
      <c r="D5" s="626"/>
      <c r="E5" s="626"/>
      <c r="F5" s="626"/>
      <c r="G5" s="626"/>
      <c r="H5" s="626"/>
    </row>
    <row r="6" spans="1:8" x14ac:dyDescent="0.25">
      <c r="A6" s="514" t="s">
        <v>363</v>
      </c>
      <c r="B6" s="619" t="s">
        <v>437</v>
      </c>
      <c r="C6" s="626">
        <f>D6+H6</f>
        <v>1800000000</v>
      </c>
      <c r="D6" s="626">
        <f>'Tong hop_1'!D9</f>
        <v>988466000</v>
      </c>
      <c r="E6" s="626"/>
      <c r="F6" s="626"/>
      <c r="G6" s="626"/>
      <c r="H6" s="626">
        <f>'Tong hop_1'!H9</f>
        <v>811534000</v>
      </c>
    </row>
    <row r="7" spans="1:8" x14ac:dyDescent="0.25">
      <c r="A7" s="516">
        <v>1</v>
      </c>
      <c r="B7" s="618" t="s">
        <v>438</v>
      </c>
      <c r="C7" s="626">
        <f>D7+H7</f>
        <v>917513000</v>
      </c>
      <c r="D7" s="626">
        <f>'PL_Du toan'!F10</f>
        <v>389635000</v>
      </c>
      <c r="E7" s="626"/>
      <c r="F7" s="626"/>
      <c r="G7" s="626"/>
      <c r="H7" s="626">
        <f>'PL_Du toan'!G17</f>
        <v>527878000</v>
      </c>
    </row>
    <row r="8" spans="1:8" x14ac:dyDescent="0.25">
      <c r="A8" s="516">
        <v>2</v>
      </c>
      <c r="B8" s="618" t="s">
        <v>439</v>
      </c>
      <c r="C8" s="626">
        <f>D8+H8</f>
        <v>882487000</v>
      </c>
      <c r="D8" s="626">
        <f>'PL_Du toan'!H10</f>
        <v>598831000</v>
      </c>
      <c r="E8" s="626"/>
      <c r="F8" s="626"/>
      <c r="G8" s="626"/>
      <c r="H8" s="626">
        <f>'PL_Du toan'!I17</f>
        <v>283656000</v>
      </c>
    </row>
    <row r="9" spans="1:8" x14ac:dyDescent="0.25">
      <c r="A9" s="516">
        <v>3</v>
      </c>
      <c r="B9" s="618" t="s">
        <v>440</v>
      </c>
      <c r="C9" s="626"/>
      <c r="D9" s="626"/>
      <c r="E9" s="626"/>
      <c r="F9" s="626"/>
      <c r="G9" s="626"/>
      <c r="H9" s="626"/>
    </row>
    <row r="10" spans="1:8" x14ac:dyDescent="0.25">
      <c r="A10" s="514" t="s">
        <v>364</v>
      </c>
      <c r="B10" s="619" t="s">
        <v>441</v>
      </c>
      <c r="C10" s="626"/>
      <c r="D10" s="626"/>
      <c r="E10" s="626"/>
      <c r="F10" s="626"/>
      <c r="G10" s="626"/>
      <c r="H10" s="626"/>
    </row>
    <row r="11" spans="1:8" x14ac:dyDescent="0.25">
      <c r="A11" s="516">
        <v>1</v>
      </c>
      <c r="B11" s="618" t="s">
        <v>438</v>
      </c>
      <c r="C11" s="626"/>
      <c r="D11" s="626"/>
      <c r="E11" s="626"/>
      <c r="F11" s="626"/>
      <c r="G11" s="626"/>
      <c r="H11" s="626"/>
    </row>
    <row r="12" spans="1:8" x14ac:dyDescent="0.25">
      <c r="A12" s="516">
        <v>2</v>
      </c>
      <c r="B12" s="618" t="s">
        <v>439</v>
      </c>
      <c r="C12" s="626"/>
      <c r="D12" s="626"/>
      <c r="E12" s="626"/>
      <c r="F12" s="626"/>
      <c r="G12" s="626"/>
      <c r="H12" s="626"/>
    </row>
    <row r="13" spans="1:8" x14ac:dyDescent="0.25">
      <c r="A13" s="516">
        <v>3</v>
      </c>
      <c r="B13" s="618" t="s">
        <v>442</v>
      </c>
      <c r="C13" s="626"/>
      <c r="D13" s="626"/>
      <c r="E13" s="626"/>
      <c r="F13" s="626"/>
      <c r="G13" s="626"/>
      <c r="H13" s="626"/>
    </row>
    <row r="14" spans="1:8" ht="31.5" x14ac:dyDescent="0.25">
      <c r="A14" s="514" t="s">
        <v>6</v>
      </c>
      <c r="B14" s="619" t="s">
        <v>396</v>
      </c>
      <c r="C14" s="626"/>
      <c r="D14" s="626"/>
      <c r="E14" s="626"/>
      <c r="F14" s="626"/>
      <c r="G14" s="626"/>
      <c r="H14" s="626"/>
    </row>
    <row r="17" spans="1:8" s="515" customFormat="1" x14ac:dyDescent="0.25">
      <c r="A17" s="1036" t="s">
        <v>397</v>
      </c>
      <c r="B17" s="1036"/>
      <c r="C17" s="1036"/>
      <c r="D17" s="627"/>
      <c r="E17" s="1042" t="s">
        <v>398</v>
      </c>
      <c r="F17" s="1042"/>
      <c r="G17" s="1042"/>
      <c r="H17" s="1042"/>
    </row>
    <row r="18" spans="1:8" s="515" customFormat="1" x14ac:dyDescent="0.25">
      <c r="A18" s="1035" t="s">
        <v>399</v>
      </c>
      <c r="B18" s="1035"/>
      <c r="C18" s="1035"/>
      <c r="D18" s="628"/>
      <c r="E18" s="1039" t="s">
        <v>400</v>
      </c>
      <c r="F18" s="1039"/>
      <c r="G18" s="1039"/>
      <c r="H18" s="1039"/>
    </row>
    <row r="19" spans="1:8" s="515" customFormat="1" x14ac:dyDescent="0.25">
      <c r="A19" s="577"/>
      <c r="B19" s="578"/>
      <c r="C19" s="629"/>
      <c r="D19" s="630"/>
      <c r="E19" s="629"/>
      <c r="F19" s="629"/>
      <c r="G19" s="629"/>
      <c r="H19" s="629"/>
    </row>
  </sheetData>
  <mergeCells count="9">
    <mergeCell ref="A18:C18"/>
    <mergeCell ref="E18:H18"/>
    <mergeCell ref="A1:H1"/>
    <mergeCell ref="A3:A4"/>
    <mergeCell ref="B3:B4"/>
    <mergeCell ref="C3:C4"/>
    <mergeCell ref="D3:H3"/>
    <mergeCell ref="A17:C17"/>
    <mergeCell ref="E17:H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1C9DCFC1BD484B8782B5EC1DE81EDD" ma:contentTypeVersion="10" ma:contentTypeDescription="Create a new document." ma:contentTypeScope="" ma:versionID="957f462d68df7cbecee73d6e56bfce9f">
  <xsd:schema xmlns:xsd="http://www.w3.org/2001/XMLSchema" xmlns:xs="http://www.w3.org/2001/XMLSchema" xmlns:p="http://schemas.microsoft.com/office/2006/metadata/properties" xmlns:ns1="http://schemas.microsoft.com/sharepoint/v3" xmlns:ns2="cbfbe66f-73fe-418f-a6ca-73df0b1361a6" xmlns:ns3="d8cac77b-3301-4150-bb0e-af8a132fd183" targetNamespace="http://schemas.microsoft.com/office/2006/metadata/properties" ma:root="true" ma:fieldsID="aaee6625ea2d2ab5c8d7cb410fdf7285" ns1:_="" ns2:_="" ns3:_="">
    <xsd:import namespace="http://schemas.microsoft.com/sharepoint/v3"/>
    <xsd:import namespace="cbfbe66f-73fe-418f-a6ca-73df0b1361a6"/>
    <xsd:import namespace="d8cac77b-3301-4150-bb0e-af8a132fd183"/>
    <xsd:element name="properties">
      <xsd:complexType>
        <xsd:sequence>
          <xsd:element name="documentManagement">
            <xsd:complexType>
              <xsd:all>
                <xsd:element ref="ns1:PublishingStartDate" minOccurs="0"/>
                <xsd:element ref="ns1:PublishingExpirationDate" minOccurs="0"/>
                <xsd:element ref="ns2:Vtnn_Ma" minOccurs="0"/>
                <xsd:element ref="ns2:Vtnn_ChuyenMuc" minOccurs="0"/>
                <xsd:element ref="ns2:Vtnn_TenChuyenMuc" minOccurs="0"/>
                <xsd:element ref="ns2:Vtnn_ChuyenMucKhac" minOccurs="0"/>
                <xsd:element ref="ns2:Vtnn_LoaiTaiLieu" minOccurs="0"/>
                <xsd:element ref="ns2:Vtnn_FileSize" minOccurs="0"/>
                <xsd:element ref="ns2:Vtnn_FileExt" minOccurs="0"/>
                <xsd:element ref="ns2:Vtnn_Xo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fbe66f-73fe-418f-a6ca-73df0b1361a6" elementFormDefault="qualified">
    <xsd:import namespace="http://schemas.microsoft.com/office/2006/documentManagement/types"/>
    <xsd:import namespace="http://schemas.microsoft.com/office/infopath/2007/PartnerControls"/>
    <xsd:element name="Vtnn_Ma" ma:index="10" nillable="true" ma:displayName="Mã" ma:internalName="Vtnn_Ma">
      <xsd:simpleType>
        <xsd:restriction base="dms:Text"/>
      </xsd:simpleType>
    </xsd:element>
    <xsd:element name="Vtnn_ChuyenMuc" ma:index="11" nillable="true" ma:displayName="Chuyên mục" ma:internalName="Vtnn_ChuyenMuc">
      <xsd:simpleType>
        <xsd:restriction base="dms:Text"/>
      </xsd:simpleType>
    </xsd:element>
    <xsd:element name="Vtnn_TenChuyenMuc" ma:index="12" nillable="true" ma:displayName="Tên chuyên mục" ma:internalName="Vtnn_TenChuyenMuc">
      <xsd:simpleType>
        <xsd:restriction base="dms:Text"/>
      </xsd:simpleType>
    </xsd:element>
    <xsd:element name="Vtnn_ChuyenMucKhac" ma:index="13" nillable="true" ma:displayName="Chuyên mục khác" ma:internalName="Vtnn_ChuyenMucKhac">
      <xsd:simpleType>
        <xsd:restriction base="dms:Text"/>
      </xsd:simpleType>
    </xsd:element>
    <xsd:element name="Vtnn_LoaiTaiLieu" ma:index="14" nillable="true" ma:displayName="Loại tài liệu" ma:internalName="Vtnn_LoaiTaiLieu">
      <xsd:simpleType>
        <xsd:restriction base="dms:Text"/>
      </xsd:simpleType>
    </xsd:element>
    <xsd:element name="Vtnn_FileSize" ma:index="15" nillable="true" ma:displayName="Kích cỡ tệp" ma:internalName="Vtnn_FileSize">
      <xsd:simpleType>
        <xsd:restriction base="dms:Text"/>
      </xsd:simpleType>
    </xsd:element>
    <xsd:element name="Vtnn_FileExt" ma:index="16" nillable="true" ma:displayName="Phần mở rộng" ma:internalName="Vtnn_FileExt">
      <xsd:simpleType>
        <xsd:restriction base="dms:Text"/>
      </xsd:simpleType>
    </xsd:element>
    <xsd:element name="Vtnn_Xoa" ma:index="17" nillable="true" ma:displayName="Xóa" ma:default="0" ma:internalName="Vtnn_Xoa">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8cac77b-3301-4150-bb0e-af8a132fd18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tnn_ChuyenMucKhac xmlns="cbfbe66f-73fe-418f-a6ca-73df0b1361a6" xsi:nil="true"/>
    <Vtnn_FileExt xmlns="cbfbe66f-73fe-418f-a6ca-73df0b1361a6">xlsx</Vtnn_FileExt>
    <Vtnn_ChuyenMuc xmlns="cbfbe66f-73fe-418f-a6ca-73df0b1361a6">a5477355-4467-478c-a695-4d1a9191cf29</Vtnn_ChuyenMuc>
    <Vtnn_TenChuyenMuc xmlns="cbfbe66f-73fe-418f-a6ca-73df0b1361a6" xsi:nil="true"/>
    <Vtnn_FileSize xmlns="cbfbe66f-73fe-418f-a6ca-73df0b1361a6">System.Byte[]</Vtnn_FileSize>
    <Vtnn_LoaiTaiLieu xmlns="cbfbe66f-73fe-418f-a6ca-73df0b1361a6" xsi:nil="true"/>
    <Vtnn_Xoa xmlns="cbfbe66f-73fe-418f-a6ca-73df0b1361a6">false</Vtnn_Xoa>
    <PublishingExpirationDate xmlns="http://schemas.microsoft.com/sharepoint/v3" xsi:nil="true"/>
    <PublishingStartDate xmlns="http://schemas.microsoft.com/sharepoint/v3" xsi:nil="true"/>
    <Vtnn_Ma xmlns="cbfbe66f-73fe-418f-a6ca-73df0b1361a6" xsi:nil="true"/>
  </documentManagement>
</p:properties>
</file>

<file path=customXml/itemProps1.xml><?xml version="1.0" encoding="utf-8"?>
<ds:datastoreItem xmlns:ds="http://schemas.openxmlformats.org/officeDocument/2006/customXml" ds:itemID="{8A848D45-4CE8-4ECC-BE3D-EB3A395CD840}"/>
</file>

<file path=customXml/itemProps2.xml><?xml version="1.0" encoding="utf-8"?>
<ds:datastoreItem xmlns:ds="http://schemas.openxmlformats.org/officeDocument/2006/customXml" ds:itemID="{5D4F8461-01A6-477F-BA67-7ABF1020D199}"/>
</file>

<file path=customXml/itemProps3.xml><?xml version="1.0" encoding="utf-8"?>
<ds:datastoreItem xmlns:ds="http://schemas.openxmlformats.org/officeDocument/2006/customXml" ds:itemID="{45E309FC-C193-4736-ADE0-33EF776D5F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vt:i4>
      </vt:variant>
    </vt:vector>
  </HeadingPairs>
  <TitlesOfParts>
    <vt:vector size="29" baseType="lpstr">
      <vt:lpstr>Dự toán (TH)</vt:lpstr>
      <vt:lpstr>PLII.Điều tra.KS</vt:lpstr>
      <vt:lpstr>PLIII.Nhân công</vt:lpstr>
      <vt:lpstr>Đơn giá tiền công</vt:lpstr>
      <vt:lpstr>Tong hop cong</vt:lpstr>
      <vt:lpstr>PL 4b. Chi tiết hội thảo</vt:lpstr>
      <vt:lpstr>PL 4a Hội thảo-nghiệm thu</vt:lpstr>
      <vt:lpstr>Tong hop_1</vt:lpstr>
      <vt:lpstr>Tong hop</vt:lpstr>
      <vt:lpstr>PL_Du toan</vt:lpstr>
      <vt:lpstr>Du toan chi khac (theo TT26)</vt:lpstr>
      <vt:lpstr>PL1. Ndung cong viec</vt:lpstr>
      <vt:lpstr>PL1a1_giai trinh cong LD</vt:lpstr>
      <vt:lpstr>Dieu tra khao sat</vt:lpstr>
      <vt:lpstr>Hoi thao</vt:lpstr>
      <vt:lpstr>Hop nghiem thu</vt:lpstr>
      <vt:lpstr>V9_noi dung</vt:lpstr>
      <vt:lpstr>Tong hop cong AL</vt:lpstr>
      <vt:lpstr>Sheet5</vt:lpstr>
      <vt:lpstr>PL3. Khao sat</vt:lpstr>
      <vt:lpstr>PL2_Hoi thao</vt:lpstr>
      <vt:lpstr>PL2. Nghiem thu</vt:lpstr>
      <vt:lpstr>PL_Hoi thao</vt:lpstr>
      <vt:lpstr>tiến độ</vt:lpstr>
      <vt:lpstr>Sheet1</vt:lpstr>
      <vt:lpstr>'Dự toán (TH)'!Print_Titles</vt:lpstr>
      <vt:lpstr>'PL 4a Hội thảo-nghiệm thu'!Print_Titles</vt:lpstr>
      <vt:lpstr>'PLII.Điều tra.KS'!Print_Titles</vt:lpstr>
      <vt:lpstr>'PLIII.Nhân công'!Print_Titles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123456</dc:creator>
  <cp:lastModifiedBy>DELL</cp:lastModifiedBy>
  <cp:lastPrinted>2021-07-27T07:38:15Z</cp:lastPrinted>
  <dcterms:created xsi:type="dcterms:W3CDTF">2018-05-04T23:10:02Z</dcterms:created>
  <dcterms:modified xsi:type="dcterms:W3CDTF">2022-01-04T05:09:41Z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0x010100A01C9DCFC1BD484B8782B5EC1DE81EDD</vt:lpwstr>
  </property>
</Properties>
</file>